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VCB Reddot\Hogbid\"/>
    </mc:Choice>
  </mc:AlternateContent>
  <bookViews>
    <workbookView xWindow="0" yWindow="0" windowWidth="25200" windowHeight="11985"/>
  </bookViews>
  <sheets>
    <sheet name="Sales" sheetId="7" r:id="rId1"/>
    <sheet name="Meal Plans" sheetId="4" r:id="rId2"/>
    <sheet name="Missed-Trades-Meal#" sheetId="3" r:id="rId3"/>
    <sheet name="Summer" sheetId="8" r:id="rId4"/>
    <sheet name="Other" sheetId="6" r:id="rId5"/>
  </sheets>
  <externalReferences>
    <externalReference r:id="rId6"/>
  </externalReferences>
  <definedNames>
    <definedName name="_xlnm.Print_Area" localSheetId="3">Summer!$A$2:$J$43</definedName>
    <definedName name="SalesTax">'[1]Ala Carte &amp; Fac Staff FY 2016'!$I$21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8" l="1"/>
  <c r="G14" i="8"/>
  <c r="E44" i="7" l="1"/>
  <c r="C44" i="7"/>
  <c r="E43" i="7"/>
  <c r="C43" i="7"/>
  <c r="E32" i="7"/>
  <c r="C32" i="7"/>
  <c r="C31" i="7"/>
  <c r="F27" i="7"/>
  <c r="E27" i="7"/>
  <c r="D27" i="7"/>
  <c r="C27" i="7"/>
  <c r="F26" i="7"/>
  <c r="D26" i="7"/>
  <c r="F25" i="7"/>
  <c r="E25" i="7"/>
  <c r="D25" i="7"/>
  <c r="C25" i="7"/>
  <c r="F24" i="7"/>
  <c r="E24" i="7"/>
  <c r="D24" i="7"/>
  <c r="C24" i="7"/>
  <c r="F23" i="7"/>
  <c r="E23" i="7"/>
  <c r="D23" i="7"/>
  <c r="C23" i="7"/>
  <c r="F21" i="7"/>
  <c r="D21" i="7"/>
  <c r="F19" i="7"/>
  <c r="E19" i="7"/>
  <c r="D19" i="7"/>
  <c r="C19" i="7"/>
  <c r="F18" i="7"/>
  <c r="E18" i="7"/>
  <c r="D18" i="7"/>
  <c r="C18" i="7"/>
  <c r="F16" i="7"/>
  <c r="D16" i="7"/>
  <c r="F14" i="7"/>
  <c r="E14" i="7"/>
  <c r="D14" i="7"/>
  <c r="C14" i="7"/>
  <c r="F12" i="7"/>
  <c r="D12" i="7"/>
  <c r="C12" i="7"/>
  <c r="F11" i="7"/>
  <c r="E11" i="7"/>
  <c r="D11" i="7"/>
  <c r="C11" i="7"/>
  <c r="F8" i="7"/>
  <c r="E8" i="7"/>
  <c r="D8" i="7"/>
  <c r="C8" i="7"/>
  <c r="C28" i="7" l="1"/>
  <c r="D28" i="7"/>
  <c r="E28" i="7"/>
  <c r="F28" i="7"/>
  <c r="E32" i="6"/>
  <c r="E4" i="6"/>
  <c r="E3" i="6"/>
  <c r="E2" i="6"/>
  <c r="C23" i="4" l="1"/>
  <c r="C18" i="4"/>
  <c r="C9" i="4"/>
  <c r="E23" i="4"/>
  <c r="E18" i="4"/>
  <c r="E9" i="4"/>
  <c r="F23" i="4"/>
  <c r="F18" i="4"/>
  <c r="F9" i="4"/>
  <c r="D23" i="4"/>
  <c r="D18" i="4"/>
  <c r="D9" i="4"/>
  <c r="C43" i="3" l="1"/>
  <c r="D43" i="3"/>
  <c r="C42" i="3"/>
  <c r="D42" i="3"/>
  <c r="D45" i="3" l="1"/>
  <c r="C45" i="3"/>
  <c r="G36" i="3" l="1"/>
  <c r="H29" i="3" s="1"/>
  <c r="H36" i="3" l="1"/>
  <c r="H34" i="3"/>
  <c r="H32" i="3"/>
  <c r="H30" i="3"/>
  <c r="H28" i="3"/>
  <c r="H27" i="3"/>
  <c r="H35" i="3"/>
  <c r="H33" i="3"/>
  <c r="H31" i="3"/>
  <c r="C36" i="3"/>
  <c r="D28" i="3" s="1"/>
  <c r="D36" i="3" l="1"/>
  <c r="D31" i="3"/>
  <c r="D29" i="3"/>
  <c r="D27" i="3"/>
  <c r="D32" i="3"/>
  <c r="D30" i="3"/>
  <c r="D23" i="3" l="1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C24" i="3" l="1"/>
  <c r="D24" i="3"/>
  <c r="I35" i="3" s="1"/>
  <c r="E33" i="3"/>
  <c r="E35" i="3"/>
  <c r="E34" i="3"/>
  <c r="E28" i="3"/>
  <c r="E36" i="3"/>
  <c r="E32" i="3"/>
  <c r="E27" i="3"/>
  <c r="I27" i="3"/>
  <c r="I32" i="3"/>
  <c r="E29" i="3"/>
  <c r="E31" i="3"/>
  <c r="E30" i="3"/>
  <c r="I33" i="3" l="1"/>
  <c r="I36" i="3"/>
  <c r="I28" i="3"/>
  <c r="I29" i="3"/>
  <c r="I30" i="3"/>
  <c r="I34" i="3"/>
  <c r="I31" i="3"/>
</calcChain>
</file>

<file path=xl/sharedStrings.xml><?xml version="1.0" encoding="utf-8"?>
<sst xmlns="http://schemas.openxmlformats.org/spreadsheetml/2006/main" count="215" uniqueCount="160">
  <si>
    <t>August 1, 2014 - July 31, 2015</t>
  </si>
  <si>
    <t>August 1, 2015 - July 31, 2016</t>
  </si>
  <si>
    <t>Au Bon Pain Arkansas Union</t>
  </si>
  <si>
    <t>Au Bon Pain  Champions</t>
  </si>
  <si>
    <t xml:space="preserve">Brough  Dining Casual </t>
  </si>
  <si>
    <t>Club Red Brough</t>
  </si>
  <si>
    <t>Club Red Arkansas Union</t>
  </si>
  <si>
    <t>Club Red The Hill</t>
  </si>
  <si>
    <t>Einstein's Walker Hall</t>
  </si>
  <si>
    <t>Einstein's Bell Engineering</t>
  </si>
  <si>
    <t>Fulbright Casual</t>
  </si>
  <si>
    <t>Hill Grill/Create</t>
  </si>
  <si>
    <t>Olympus Greek Grill</t>
  </si>
  <si>
    <t>Pomfret Dining Casual</t>
  </si>
  <si>
    <t>Slim Chickens</t>
  </si>
  <si>
    <t>Starbucks</t>
  </si>
  <si>
    <t>Union Food Court</t>
  </si>
  <si>
    <t>Peabody Perks</t>
  </si>
  <si>
    <t xml:space="preserve">Catering </t>
  </si>
  <si>
    <t>Conference</t>
  </si>
  <si>
    <t xml:space="preserve">Historic Sales   </t>
  </si>
  <si>
    <t xml:space="preserve">Unlimited  </t>
  </si>
  <si>
    <t>Unlimited Plus</t>
  </si>
  <si>
    <t>15 Plus</t>
  </si>
  <si>
    <t>Historic Expenses</t>
  </si>
  <si>
    <t>Utilities</t>
  </si>
  <si>
    <t xml:space="preserve"> </t>
  </si>
  <si>
    <t>Trash Service</t>
  </si>
  <si>
    <t>Arkansas Union</t>
  </si>
  <si>
    <t>Au Bon Pain</t>
  </si>
  <si>
    <t>Quiznos</t>
  </si>
  <si>
    <t>Rocket Taco/Papa Johns</t>
  </si>
  <si>
    <t>Bookstore Café/Peets</t>
  </si>
  <si>
    <t>Freshens-Union</t>
  </si>
  <si>
    <t>Innovation Café</t>
  </si>
  <si>
    <t>The Hill</t>
  </si>
  <si>
    <t>Meal Trades (units)</t>
  </si>
  <si>
    <t>Off Campus I (25)</t>
  </si>
  <si>
    <t>Off Campus II (80)</t>
  </si>
  <si>
    <t>Off Campus III (50)</t>
  </si>
  <si>
    <t>JR/SR</t>
  </si>
  <si>
    <t>15P</t>
  </si>
  <si>
    <t>UN</t>
  </si>
  <si>
    <t>Unp</t>
  </si>
  <si>
    <t>ocm1</t>
  </si>
  <si>
    <t>ocm2</t>
  </si>
  <si>
    <t>ocm3</t>
  </si>
  <si>
    <t>Missed Meal Factor %</t>
  </si>
  <si>
    <t>Pomfret</t>
  </si>
  <si>
    <t>Brough</t>
  </si>
  <si>
    <t>Total</t>
  </si>
  <si>
    <t xml:space="preserve">Dining Hall Meals </t>
  </si>
  <si>
    <t>Grand Total</t>
  </si>
  <si>
    <t>Staff Meal Plans Total</t>
  </si>
  <si>
    <t>Staff Unlimited Plus Meal Plan</t>
  </si>
  <si>
    <t>Staff Unlimited Meal Plan</t>
  </si>
  <si>
    <t>Staff 15 Plus Meal Plan</t>
  </si>
  <si>
    <t>Staff 10 Meal Plan</t>
  </si>
  <si>
    <t>Off-Campus Meal Plans Total</t>
  </si>
  <si>
    <t>Off-Campus 80 Meal Plan I</t>
  </si>
  <si>
    <t>Off-Campus 50 Meal Plan III</t>
  </si>
  <si>
    <t>Off-Campus 25 Meal Plan II</t>
  </si>
  <si>
    <t>Off-Campus Unlimited Plus Meal Plan</t>
  </si>
  <si>
    <t>Off-Campus Unlimited Meal Plan</t>
  </si>
  <si>
    <t>Off-Campus 15 Plus Meal Plan</t>
  </si>
  <si>
    <t>Off-Campus 15 Meal Plan</t>
  </si>
  <si>
    <t>Off-Campus 10 Meal Plan</t>
  </si>
  <si>
    <t>Hall Meal Plans Total</t>
  </si>
  <si>
    <t>Unlimited Plus Meal Plan</t>
  </si>
  <si>
    <t>Unlimited Meal Plan</t>
  </si>
  <si>
    <t>Junior/Senior Meal Plan</t>
  </si>
  <si>
    <t>15 Plus Meal Plan</t>
  </si>
  <si>
    <t>15 Meal Plan</t>
  </si>
  <si>
    <t>10 Meal Plan</t>
  </si>
  <si>
    <t>Meal Plans as of 11th Day of Class</t>
  </si>
  <si>
    <t>Faculty/Staff Meal Plans</t>
  </si>
  <si>
    <t>SPRING 2016</t>
  </si>
  <si>
    <t>FALL 2015</t>
  </si>
  <si>
    <t>Brough To Go-Go</t>
  </si>
  <si>
    <t>Aug  2015 - May 2016</t>
  </si>
  <si>
    <t>Aug 2014 - May 2015</t>
  </si>
  <si>
    <t>Plan</t>
  </si>
  <si>
    <t>Meal Count</t>
  </si>
  <si>
    <t xml:space="preserve">no limit </t>
  </si>
  <si>
    <t>no limit</t>
  </si>
  <si>
    <t>15 per week</t>
  </si>
  <si>
    <t>10 per week</t>
  </si>
  <si>
    <t>Off Campus I</t>
  </si>
  <si>
    <t>80 Total</t>
  </si>
  <si>
    <t>Off Campus II</t>
  </si>
  <si>
    <t>25 Total</t>
  </si>
  <si>
    <t>Off Campus III</t>
  </si>
  <si>
    <t>50 Total</t>
  </si>
  <si>
    <t>7 per week</t>
  </si>
  <si>
    <t>Junior/Senior*</t>
  </si>
  <si>
    <t xml:space="preserve">* Junior/Senior Plan offered to on-campus students that have completed at least 60 hours. </t>
  </si>
  <si>
    <t>SUMMER SCHOOL</t>
  </si>
  <si>
    <t>Weeks</t>
  </si>
  <si>
    <t># Meals</t>
  </si>
  <si>
    <t>Flex $</t>
  </si>
  <si>
    <t>Increase</t>
  </si>
  <si>
    <t>A</t>
  </si>
  <si>
    <t>B</t>
  </si>
  <si>
    <t>C</t>
  </si>
  <si>
    <t>D</t>
  </si>
  <si>
    <t>E</t>
  </si>
  <si>
    <t>F</t>
  </si>
  <si>
    <t>G</t>
  </si>
  <si>
    <t>H</t>
  </si>
  <si>
    <t>Tax</t>
  </si>
  <si>
    <t>Summer 2016</t>
  </si>
  <si>
    <t># Campers</t>
  </si>
  <si>
    <t>1 - 500</t>
  </si>
  <si>
    <t>501 - 999</t>
  </si>
  <si>
    <t>1,000 - 1,500</t>
  </si>
  <si>
    <t xml:space="preserve"> FY 2015</t>
  </si>
  <si>
    <t>Cost</t>
  </si>
  <si>
    <t>CPM w/tax</t>
  </si>
  <si>
    <t>Plan I</t>
  </si>
  <si>
    <t>Plan II</t>
  </si>
  <si>
    <t>Plan III</t>
  </si>
  <si>
    <t>FY 2016</t>
  </si>
  <si>
    <t>Door Rates FY 2014</t>
  </si>
  <si>
    <t>W / Tax</t>
  </si>
  <si>
    <t>Breakfast</t>
  </si>
  <si>
    <t>Lunch</t>
  </si>
  <si>
    <t>Dinner</t>
  </si>
  <si>
    <t>Door Rate</t>
  </si>
  <si>
    <t># of Meals</t>
  </si>
  <si>
    <t>Plans Sold</t>
  </si>
  <si>
    <t>Door Rates  (includes tax)</t>
  </si>
  <si>
    <t>Attachment D</t>
  </si>
  <si>
    <t>Board Revenue (net) *</t>
  </si>
  <si>
    <t>Flex**</t>
  </si>
  <si>
    <t>Staff</t>
  </si>
  <si>
    <t>Student</t>
  </si>
  <si>
    <t>Summer 2015</t>
  </si>
  <si>
    <t>Totals</t>
  </si>
  <si>
    <t>FY 2015</t>
  </si>
  <si>
    <t>Day Rate</t>
  </si>
  <si>
    <t>Summer Conference Rates</t>
  </si>
  <si>
    <t>Summer 2016: 43 groups were served approximately 120,483 meals</t>
  </si>
  <si>
    <t>Summer Orientation June 2016: Approximately 19,600 meals served</t>
  </si>
  <si>
    <t>Auxiliary Units</t>
  </si>
  <si>
    <t>B = Flex/Dining Dollars (declining balance)</t>
  </si>
  <si>
    <t>Rates</t>
  </si>
  <si>
    <t xml:space="preserve">  2016 - 2017</t>
  </si>
  <si>
    <t xml:space="preserve">  2015 - 2016</t>
  </si>
  <si>
    <t>* After transfer of flex (included in auxiliary)</t>
  </si>
  <si>
    <t>Number of Plans Sold</t>
  </si>
  <si>
    <t>** Flex/Dining Dollars = declining balance</t>
  </si>
  <si>
    <t>Summer Orientation June 2015: Approximately 19,870 meals served</t>
  </si>
  <si>
    <t>37</t>
  </si>
  <si>
    <t>22</t>
  </si>
  <si>
    <t>34</t>
  </si>
  <si>
    <t>Fulbright</t>
  </si>
  <si>
    <t>Summer 2015: 43 groups were served approximately 111,541 meals</t>
  </si>
  <si>
    <t>A = Cash, Credit, Charge, Razorbuck$, no tax</t>
  </si>
  <si>
    <t>FALL     2016</t>
  </si>
  <si>
    <t>SPRING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</si>
</sst>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u val="double"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Border="1"/>
    <xf numFmtId="10" fontId="0" fillId="0" borderId="0" xfId="4" applyNumberFormat="1" applyFont="1"/>
    <xf numFmtId="0" fontId="0" fillId="0" borderId="0" xfId="0" applyAlignment="1">
      <alignment horizontal="center"/>
    </xf>
    <xf numFmtId="0" fontId="2" fillId="0" borderId="0" xfId="6" applyFont="1" applyBorder="1"/>
    <xf numFmtId="0" fontId="4" fillId="0" borderId="0" xfId="6" applyFont="1" applyBorder="1"/>
    <xf numFmtId="0" fontId="4" fillId="0" borderId="0" xfId="6" applyFont="1" applyBorder="1" applyAlignment="1">
      <alignment horizontal="centerContinuous"/>
    </xf>
    <xf numFmtId="166" fontId="5" fillId="0" borderId="0" xfId="6" applyNumberFormat="1" applyFont="1" applyBorder="1"/>
    <xf numFmtId="0" fontId="2" fillId="0" borderId="0" xfId="6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8" fontId="0" fillId="0" borderId="0" xfId="0" applyNumberFormat="1"/>
    <xf numFmtId="10" fontId="3" fillId="0" borderId="0" xfId="4" applyNumberFormat="1" applyFont="1"/>
    <xf numFmtId="0" fontId="8" fillId="0" borderId="0" xfId="0" applyFont="1"/>
    <xf numFmtId="0" fontId="6" fillId="0" borderId="0" xfId="0" applyFont="1" applyAlignment="1">
      <alignment horizontal="center" wrapText="1"/>
    </xf>
    <xf numFmtId="44" fontId="3" fillId="0" borderId="0" xfId="5" applyFont="1"/>
    <xf numFmtId="40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Fill="1"/>
    <xf numFmtId="0" fontId="6" fillId="0" borderId="0" xfId="0" applyFont="1" applyFill="1" applyAlignment="1">
      <alignment horizontal="center"/>
    </xf>
    <xf numFmtId="44" fontId="3" fillId="0" borderId="0" xfId="5" applyFont="1" applyFill="1"/>
    <xf numFmtId="44" fontId="0" fillId="0" borderId="0" xfId="0" applyNumberFormat="1" applyFill="1"/>
    <xf numFmtId="10" fontId="3" fillId="0" borderId="0" xfId="4" applyNumberFormat="1" applyFont="1" applyFill="1"/>
    <xf numFmtId="0" fontId="0" fillId="0" borderId="0" xfId="0" applyFill="1" applyProtection="1">
      <protection hidden="1"/>
    </xf>
    <xf numFmtId="44" fontId="0" fillId="0" borderId="0" xfId="0" applyNumberFormat="1"/>
    <xf numFmtId="0" fontId="0" fillId="0" borderId="0" xfId="0" applyFont="1"/>
    <xf numFmtId="40" fontId="0" fillId="0" borderId="0" xfId="0" applyNumberFormat="1" applyFont="1"/>
    <xf numFmtId="0" fontId="0" fillId="0" borderId="0" xfId="0" applyFont="1" applyAlignment="1">
      <alignment horizontal="center"/>
    </xf>
    <xf numFmtId="0" fontId="10" fillId="0" borderId="29" xfId="6" applyFont="1" applyBorder="1"/>
    <xf numFmtId="0" fontId="10" fillId="0" borderId="30" xfId="6" applyFont="1" applyBorder="1"/>
    <xf numFmtId="0" fontId="10" fillId="0" borderId="31" xfId="6" applyFont="1" applyBorder="1"/>
    <xf numFmtId="0" fontId="10" fillId="0" borderId="22" xfId="6" applyFont="1" applyBorder="1"/>
    <xf numFmtId="0" fontId="10" fillId="0" borderId="0" xfId="6" applyFont="1" applyBorder="1"/>
    <xf numFmtId="0" fontId="10" fillId="0" borderId="23" xfId="6" applyFont="1" applyBorder="1"/>
    <xf numFmtId="0" fontId="10" fillId="0" borderId="0" xfId="6" applyFont="1" applyBorder="1" applyAlignment="1">
      <alignment horizontal="center" wrapText="1"/>
    </xf>
    <xf numFmtId="0" fontId="10" fillId="0" borderId="0" xfId="6" applyFont="1" applyBorder="1" applyAlignment="1">
      <alignment horizontal="center"/>
    </xf>
    <xf numFmtId="0" fontId="10" fillId="0" borderId="23" xfId="6" applyFont="1" applyBorder="1" applyAlignment="1">
      <alignment horizontal="center"/>
    </xf>
    <xf numFmtId="2" fontId="10" fillId="0" borderId="0" xfId="6" applyNumberFormat="1" applyFont="1" applyBorder="1"/>
    <xf numFmtId="49" fontId="10" fillId="0" borderId="0" xfId="6" applyNumberFormat="1" applyFont="1" applyBorder="1" applyAlignment="1">
      <alignment horizontal="right"/>
    </xf>
    <xf numFmtId="0" fontId="10" fillId="0" borderId="23" xfId="6" applyNumberFormat="1" applyFont="1" applyBorder="1" applyAlignment="1">
      <alignment horizontal="right"/>
    </xf>
    <xf numFmtId="0" fontId="10" fillId="0" borderId="15" xfId="6" applyFont="1" applyBorder="1"/>
    <xf numFmtId="0" fontId="10" fillId="0" borderId="32" xfId="6" applyFont="1" applyBorder="1" applyAlignment="1">
      <alignment horizontal="center"/>
    </xf>
    <xf numFmtId="0" fontId="10" fillId="0" borderId="32" xfId="6" applyFont="1" applyBorder="1"/>
    <xf numFmtId="2" fontId="10" fillId="0" borderId="32" xfId="6" applyNumberFormat="1" applyFont="1" applyBorder="1"/>
    <xf numFmtId="49" fontId="10" fillId="0" borderId="32" xfId="6" applyNumberFormat="1" applyFont="1" applyBorder="1" applyAlignment="1">
      <alignment horizontal="right"/>
    </xf>
    <xf numFmtId="0" fontId="10" fillId="0" borderId="26" xfId="6" applyNumberFormat="1" applyFont="1" applyBorder="1" applyAlignment="1">
      <alignment horizontal="right"/>
    </xf>
    <xf numFmtId="0" fontId="10" fillId="0" borderId="38" xfId="6" applyFont="1" applyBorder="1" applyAlignment="1">
      <alignment horizontal="center"/>
    </xf>
    <xf numFmtId="0" fontId="10" fillId="0" borderId="14" xfId="6" applyFont="1" applyBorder="1" applyAlignment="1">
      <alignment horizontal="center"/>
    </xf>
    <xf numFmtId="0" fontId="10" fillId="0" borderId="14" xfId="6" applyFont="1" applyBorder="1"/>
    <xf numFmtId="2" fontId="10" fillId="0" borderId="14" xfId="6" applyNumberFormat="1" applyFont="1" applyBorder="1"/>
    <xf numFmtId="8" fontId="9" fillId="0" borderId="14" xfId="0" applyNumberFormat="1" applyFont="1" applyBorder="1" applyAlignment="1">
      <alignment horizontal="right" vertical="center"/>
    </xf>
    <xf numFmtId="49" fontId="10" fillId="0" borderId="14" xfId="6" applyNumberFormat="1" applyFont="1" applyBorder="1" applyAlignment="1">
      <alignment horizontal="right"/>
    </xf>
    <xf numFmtId="166" fontId="9" fillId="0" borderId="14" xfId="6" applyNumberFormat="1" applyFont="1" applyBorder="1"/>
    <xf numFmtId="0" fontId="10" fillId="0" borderId="39" xfId="6" applyNumberFormat="1" applyFont="1" applyBorder="1" applyAlignment="1">
      <alignment horizontal="right"/>
    </xf>
    <xf numFmtId="0" fontId="9" fillId="0" borderId="22" xfId="0" applyFont="1" applyBorder="1"/>
    <xf numFmtId="0" fontId="10" fillId="0" borderId="0" xfId="6" applyFont="1" applyFill="1" applyBorder="1" applyAlignment="1">
      <alignment horizontal="center"/>
    </xf>
    <xf numFmtId="0" fontId="10" fillId="0" borderId="0" xfId="6" applyFont="1" applyFill="1" applyBorder="1"/>
    <xf numFmtId="2" fontId="10" fillId="0" borderId="0" xfId="6" applyNumberFormat="1" applyFont="1" applyFill="1" applyBorder="1"/>
    <xf numFmtId="0" fontId="9" fillId="0" borderId="0" xfId="0" applyFont="1" applyBorder="1"/>
    <xf numFmtId="0" fontId="9" fillId="0" borderId="0" xfId="0" applyNumberFormat="1" applyFont="1" applyBorder="1" applyAlignment="1">
      <alignment horizontal="right"/>
    </xf>
    <xf numFmtId="1" fontId="9" fillId="0" borderId="23" xfId="0" applyNumberFormat="1" applyFont="1" applyBorder="1" applyAlignment="1">
      <alignment horizontal="right"/>
    </xf>
    <xf numFmtId="0" fontId="10" fillId="0" borderId="0" xfId="6" applyNumberFormat="1" applyFont="1" applyFill="1" applyBorder="1" applyAlignment="1">
      <alignment horizontal="right"/>
    </xf>
    <xf numFmtId="0" fontId="9" fillId="0" borderId="15" xfId="0" applyFont="1" applyBorder="1"/>
    <xf numFmtId="0" fontId="10" fillId="0" borderId="32" xfId="6" applyFont="1" applyFill="1" applyBorder="1" applyAlignment="1">
      <alignment horizontal="center"/>
    </xf>
    <xf numFmtId="0" fontId="10" fillId="0" borderId="32" xfId="6" applyFont="1" applyFill="1" applyBorder="1"/>
    <xf numFmtId="2" fontId="10" fillId="0" borderId="32" xfId="6" applyNumberFormat="1" applyFont="1" applyFill="1" applyBorder="1"/>
    <xf numFmtId="0" fontId="9" fillId="0" borderId="32" xfId="0" applyNumberFormat="1" applyFont="1" applyBorder="1"/>
    <xf numFmtId="1" fontId="9" fillId="0" borderId="26" xfId="0" applyNumberFormat="1" applyFont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24" xfId="0" applyFont="1" applyBorder="1"/>
    <xf numFmtId="1" fontId="9" fillId="0" borderId="24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right"/>
    </xf>
    <xf numFmtId="0" fontId="9" fillId="0" borderId="0" xfId="0" applyFont="1"/>
    <xf numFmtId="1" fontId="9" fillId="0" borderId="0" xfId="0" applyNumberFormat="1" applyFont="1"/>
    <xf numFmtId="44" fontId="9" fillId="0" borderId="0" xfId="0" applyNumberFormat="1" applyFont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0" xfId="0" applyFont="1" applyBorder="1" applyAlignment="1">
      <alignment horizontal="center" wrapText="1"/>
    </xf>
    <xf numFmtId="0" fontId="9" fillId="0" borderId="23" xfId="0" applyFont="1" applyBorder="1"/>
    <xf numFmtId="0" fontId="9" fillId="0" borderId="0" xfId="0" applyFont="1" applyBorder="1" applyAlignment="1">
      <alignment horizontal="center"/>
    </xf>
    <xf numFmtId="0" fontId="10" fillId="0" borderId="0" xfId="6" quotePrefix="1" applyFont="1" applyBorder="1" applyAlignment="1">
      <alignment horizontal="right"/>
    </xf>
    <xf numFmtId="40" fontId="10" fillId="0" borderId="0" xfId="6" applyNumberFormat="1" applyFont="1" applyBorder="1" applyAlignment="1">
      <alignment horizontal="right"/>
    </xf>
    <xf numFmtId="2" fontId="9" fillId="0" borderId="0" xfId="0" applyNumberFormat="1" applyFont="1" applyBorder="1"/>
    <xf numFmtId="0" fontId="9" fillId="0" borderId="0" xfId="0" applyFont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9" fillId="0" borderId="1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/>
    <xf numFmtId="0" fontId="12" fillId="0" borderId="19" xfId="0" applyFont="1" applyBorder="1" applyAlignment="1">
      <alignment vertical="center" wrapText="1"/>
    </xf>
    <xf numFmtId="0" fontId="12" fillId="0" borderId="19" xfId="0" applyFont="1" applyBorder="1"/>
    <xf numFmtId="0" fontId="9" fillId="0" borderId="17" xfId="0" applyFont="1" applyBorder="1"/>
    <xf numFmtId="0" fontId="13" fillId="0" borderId="1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7" xfId="0" applyFont="1" applyBorder="1"/>
    <xf numFmtId="0" fontId="14" fillId="0" borderId="17" xfId="0" applyFont="1" applyBorder="1"/>
    <xf numFmtId="0" fontId="9" fillId="0" borderId="0" xfId="0" applyFont="1" applyAlignment="1">
      <alignment vertical="center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0" borderId="12" xfId="0" applyFont="1" applyBorder="1"/>
    <xf numFmtId="165" fontId="9" fillId="0" borderId="12" xfId="5" applyNumberFormat="1" applyFont="1" applyBorder="1"/>
    <xf numFmtId="0" fontId="9" fillId="0" borderId="1" xfId="0" applyFont="1" applyBorder="1"/>
    <xf numFmtId="165" fontId="9" fillId="0" borderId="1" xfId="5" applyNumberFormat="1" applyFont="1" applyBorder="1"/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65" fontId="9" fillId="0" borderId="0" xfId="5" applyNumberFormat="1" applyFont="1"/>
    <xf numFmtId="0" fontId="9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0" fontId="9" fillId="0" borderId="4" xfId="0" applyFont="1" applyBorder="1"/>
    <xf numFmtId="164" fontId="9" fillId="0" borderId="3" xfId="3" applyNumberFormat="1" applyFont="1" applyBorder="1"/>
    <xf numFmtId="164" fontId="9" fillId="0" borderId="4" xfId="3" applyNumberFormat="1" applyFont="1" applyBorder="1"/>
    <xf numFmtId="164" fontId="9" fillId="0" borderId="0" xfId="0" applyNumberFormat="1" applyFont="1"/>
    <xf numFmtId="164" fontId="9" fillId="0" borderId="0" xfId="3" applyNumberFormat="1" applyFont="1"/>
    <xf numFmtId="0" fontId="9" fillId="0" borderId="2" xfId="0" applyFont="1" applyBorder="1"/>
    <xf numFmtId="164" fontId="9" fillId="0" borderId="3" xfId="3" applyNumberFormat="1" applyFont="1" applyFill="1" applyBorder="1"/>
    <xf numFmtId="164" fontId="9" fillId="0" borderId="4" xfId="3" applyNumberFormat="1" applyFont="1" applyFill="1" applyBorder="1"/>
    <xf numFmtId="0" fontId="9" fillId="0" borderId="36" xfId="0" applyFont="1" applyBorder="1" applyAlignment="1">
      <alignment horizontal="right"/>
    </xf>
    <xf numFmtId="164" fontId="9" fillId="0" borderId="34" xfId="3" applyNumberFormat="1" applyFont="1" applyBorder="1"/>
    <xf numFmtId="164" fontId="9" fillId="0" borderId="35" xfId="3" applyNumberFormat="1" applyFont="1" applyBorder="1"/>
    <xf numFmtId="0" fontId="9" fillId="0" borderId="18" xfId="0" applyFont="1" applyBorder="1" applyAlignment="1">
      <alignment horizontal="right"/>
    </xf>
    <xf numFmtId="164" fontId="9" fillId="0" borderId="18" xfId="3" applyNumberFormat="1" applyFont="1" applyBorder="1"/>
    <xf numFmtId="0" fontId="12" fillId="0" borderId="15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9" fillId="0" borderId="0" xfId="0" applyFont="1" applyFill="1" applyBorder="1"/>
    <xf numFmtId="164" fontId="9" fillId="0" borderId="0" xfId="3" applyNumberFormat="1" applyFont="1" applyBorder="1" applyAlignment="1">
      <alignment horizontal="center"/>
    </xf>
    <xf numFmtId="164" fontId="9" fillId="0" borderId="0" xfId="3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17" fillId="0" borderId="33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9" fillId="0" borderId="1" xfId="5" applyNumberFormat="1" applyFont="1" applyBorder="1"/>
    <xf numFmtId="8" fontId="9" fillId="0" borderId="0" xfId="0" applyNumberFormat="1" applyFont="1"/>
    <xf numFmtId="10" fontId="9" fillId="0" borderId="0" xfId="4" applyNumberFormat="1" applyFont="1"/>
    <xf numFmtId="0" fontId="16" fillId="0" borderId="0" xfId="0" applyFont="1" applyBorder="1"/>
    <xf numFmtId="0" fontId="16" fillId="0" borderId="23" xfId="0" applyFont="1" applyBorder="1"/>
    <xf numFmtId="40" fontId="9" fillId="0" borderId="0" xfId="0" applyNumberFormat="1" applyFont="1" applyBorder="1"/>
    <xf numFmtId="40" fontId="9" fillId="0" borderId="23" xfId="0" applyNumberFormat="1" applyFont="1" applyBorder="1"/>
    <xf numFmtId="0" fontId="9" fillId="0" borderId="8" xfId="0" applyFont="1" applyBorder="1"/>
    <xf numFmtId="40" fontId="9" fillId="0" borderId="24" xfId="0" applyNumberFormat="1" applyFont="1" applyBorder="1"/>
    <xf numFmtId="40" fontId="9" fillId="0" borderId="9" xfId="0" applyNumberFormat="1" applyFont="1" applyBorder="1"/>
    <xf numFmtId="40" fontId="9" fillId="0" borderId="0" xfId="0" applyNumberFormat="1" applyFont="1"/>
    <xf numFmtId="0" fontId="17" fillId="0" borderId="0" xfId="0" applyFont="1"/>
    <xf numFmtId="0" fontId="12" fillId="2" borderId="16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9" fillId="0" borderId="6" xfId="0" applyFont="1" applyBorder="1"/>
    <xf numFmtId="10" fontId="9" fillId="0" borderId="12" xfId="4" applyNumberFormat="1" applyFont="1" applyBorder="1"/>
    <xf numFmtId="10" fontId="9" fillId="0" borderId="1" xfId="4" applyNumberFormat="1" applyFont="1" applyBorder="1"/>
    <xf numFmtId="164" fontId="9" fillId="0" borderId="12" xfId="3" applyNumberFormat="1" applyFont="1" applyBorder="1"/>
    <xf numFmtId="164" fontId="9" fillId="0" borderId="1" xfId="3" applyNumberFormat="1" applyFont="1" applyBorder="1"/>
    <xf numFmtId="0" fontId="9" fillId="0" borderId="1" xfId="0" applyFont="1" applyFill="1" applyBorder="1"/>
    <xf numFmtId="164" fontId="9" fillId="0" borderId="14" xfId="0" applyNumberFormat="1" applyFont="1" applyBorder="1"/>
    <xf numFmtId="0" fontId="9" fillId="0" borderId="0" xfId="0" quotePrefix="1" applyFont="1" applyAlignment="1">
      <alignment horizontal="right"/>
    </xf>
    <xf numFmtId="0" fontId="9" fillId="0" borderId="0" xfId="0" applyFont="1" applyAlignment="1">
      <alignment horizontal="right"/>
    </xf>
    <xf numFmtId="164" fontId="12" fillId="0" borderId="0" xfId="3" applyNumberFormat="1" applyFont="1" applyAlignment="1">
      <alignment horizontal="center"/>
    </xf>
    <xf numFmtId="164" fontId="9" fillId="0" borderId="42" xfId="3" applyNumberFormat="1" applyFont="1" applyBorder="1"/>
    <xf numFmtId="164" fontId="9" fillId="0" borderId="40" xfId="3" applyNumberFormat="1" applyFont="1" applyBorder="1"/>
    <xf numFmtId="164" fontId="9" fillId="0" borderId="41" xfId="3" applyNumberFormat="1" applyFont="1" applyBorder="1"/>
    <xf numFmtId="3" fontId="9" fillId="0" borderId="6" xfId="0" applyNumberFormat="1" applyFont="1" applyBorder="1"/>
    <xf numFmtId="3" fontId="9" fillId="0" borderId="11" xfId="0" applyNumberFormat="1" applyFont="1" applyBorder="1"/>
    <xf numFmtId="44" fontId="9" fillId="0" borderId="0" xfId="5" applyFont="1" applyBorder="1"/>
    <xf numFmtId="44" fontId="9" fillId="0" borderId="32" xfId="5" applyFont="1" applyBorder="1"/>
    <xf numFmtId="44" fontId="9" fillId="0" borderId="0" xfId="5" applyFont="1" applyBorder="1" applyAlignment="1">
      <alignment horizontal="right" vertical="center"/>
    </xf>
    <xf numFmtId="44" fontId="9" fillId="0" borderId="32" xfId="5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15" xfId="3" applyNumberFormat="1" applyFont="1" applyBorder="1" applyAlignment="1">
      <alignment horizontal="center"/>
    </xf>
    <xf numFmtId="164" fontId="9" fillId="0" borderId="26" xfId="3" applyNumberFormat="1" applyFont="1" applyBorder="1" applyAlignment="1">
      <alignment horizontal="center"/>
    </xf>
    <xf numFmtId="164" fontId="9" fillId="0" borderId="10" xfId="3" applyNumberFormat="1" applyFont="1" applyBorder="1" applyAlignment="1">
      <alignment horizontal="right"/>
    </xf>
    <xf numFmtId="164" fontId="9" fillId="0" borderId="28" xfId="3" applyNumberFormat="1" applyFont="1" applyBorder="1" applyAlignment="1">
      <alignment horizontal="right"/>
    </xf>
    <xf numFmtId="164" fontId="9" fillId="0" borderId="8" xfId="3" applyNumberFormat="1" applyFont="1" applyBorder="1" applyAlignment="1">
      <alignment horizontal="right"/>
    </xf>
    <xf numFmtId="164" fontId="9" fillId="0" borderId="9" xfId="3" applyNumberFormat="1" applyFont="1" applyBorder="1" applyAlignment="1">
      <alignment horizontal="right"/>
    </xf>
    <xf numFmtId="164" fontId="9" fillId="0" borderId="13" xfId="3" applyNumberFormat="1" applyFont="1" applyFill="1" applyBorder="1" applyAlignment="1">
      <alignment horizontal="center"/>
    </xf>
    <xf numFmtId="164" fontId="9" fillId="0" borderId="27" xfId="3" applyNumberFormat="1" applyFont="1" applyFill="1" applyBorder="1" applyAlignment="1">
      <alignment horizontal="center"/>
    </xf>
    <xf numFmtId="164" fontId="9" fillId="0" borderId="13" xfId="3" applyNumberFormat="1" applyFont="1" applyBorder="1" applyAlignment="1">
      <alignment horizontal="center"/>
    </xf>
    <xf numFmtId="164" fontId="9" fillId="0" borderId="27" xfId="3" applyNumberFormat="1" applyFont="1" applyBorder="1" applyAlignment="1">
      <alignment horizontal="center"/>
    </xf>
    <xf numFmtId="164" fontId="9" fillId="0" borderId="8" xfId="3" applyNumberFormat="1" applyFont="1" applyFill="1" applyBorder="1" applyAlignment="1">
      <alignment horizontal="center"/>
    </xf>
    <xf numFmtId="164" fontId="9" fillId="0" borderId="9" xfId="3" applyNumberFormat="1" applyFont="1" applyFill="1" applyBorder="1" applyAlignment="1">
      <alignment horizontal="center"/>
    </xf>
    <xf numFmtId="164" fontId="9" fillId="0" borderId="8" xfId="3" applyNumberFormat="1" applyFont="1" applyBorder="1" applyAlignment="1">
      <alignment horizontal="center"/>
    </xf>
    <xf numFmtId="164" fontId="9" fillId="0" borderId="9" xfId="3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</cellXfs>
  <cellStyles count="8">
    <cellStyle name="Comma" xfId="3" builtinId="3"/>
    <cellStyle name="Comma 2" xfId="2"/>
    <cellStyle name="Currency" xfId="5" builtinId="4"/>
    <cellStyle name="Normal" xfId="0" builtinId="0"/>
    <cellStyle name="Normal 2" xfId="1"/>
    <cellStyle name="Normal 2 2 2" xfId="6"/>
    <cellStyle name="Percent" xfId="4" builtinId="5"/>
    <cellStyle name="Percent 2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36</xdr:row>
      <xdr:rowOff>0</xdr:rowOff>
    </xdr:from>
    <xdr:ext cx="5871159" cy="623248"/>
    <xdr:sp macro="" textlink="">
      <xdr:nvSpPr>
        <xdr:cNvPr id="2" name="TextBox 1"/>
        <xdr:cNvSpPr txBox="1"/>
      </xdr:nvSpPr>
      <xdr:spPr>
        <a:xfrm>
          <a:off x="57150" y="4953000"/>
          <a:ext cx="587115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Catering's</a:t>
          </a:r>
          <a:r>
            <a:rPr lang="en-US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top ten delivery sites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 Arkansas Union, Vol Walker Hall, Administration Building</a:t>
          </a:r>
        </a:p>
        <a:p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University House, Willard J. Walker Hall, Gearhart Hall, Reynolds Center, Alumni House</a:t>
          </a:r>
        </a:p>
        <a:p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Graduate Education Building, and Mullins Library. 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nnew\Documents\1Documents\Board%20Rates\Board%20Rates%20Proposed%20FY%2017%20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6 Board Rate Increase"/>
      <sheetName val="Ala Carte &amp; Fac Staff FY 2016"/>
      <sheetName val="Summer Conference FY2016 Rates"/>
      <sheetName val="FY 2017 Board Rate Increase"/>
      <sheetName val="Ala Carte &amp; Fac Staff FY 2017"/>
      <sheetName val="Summer Conference FY2017 Rates"/>
    </sheetNames>
    <sheetDataSet>
      <sheetData sheetId="0"/>
      <sheetData sheetId="1">
        <row r="21">
          <cell r="I21">
            <v>0.11749999999999999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topLeftCell="A22" zoomScaleNormal="100" workbookViewId="0">
      <selection activeCell="C42" sqref="C42:D42"/>
    </sheetView>
  </sheetViews>
  <sheetFormatPr defaultRowHeight="15.75" x14ac:dyDescent="0.25"/>
  <cols>
    <col min="1" max="1" width="9.140625" style="74"/>
    <col min="2" max="2" width="27.42578125" style="74" customWidth="1"/>
    <col min="3" max="3" width="16.42578125" style="74" customWidth="1"/>
    <col min="4" max="4" width="11.5703125" style="74" bestFit="1" customWidth="1"/>
    <col min="5" max="5" width="14.5703125" style="74" customWidth="1"/>
    <col min="6" max="6" width="11.5703125" style="74" bestFit="1" customWidth="1"/>
    <col min="7" max="7" width="9.140625" style="74"/>
    <col min="8" max="8" width="11" style="74" bestFit="1" customWidth="1"/>
    <col min="9" max="10" width="12.5703125" style="74" bestFit="1" customWidth="1"/>
    <col min="11" max="11" width="11" style="74" bestFit="1" customWidth="1"/>
    <col min="12" max="12" width="11.5703125" style="74" bestFit="1" customWidth="1"/>
    <col min="13" max="16384" width="9.140625" style="74"/>
  </cols>
  <sheetData>
    <row r="1" spans="2:12" x14ac:dyDescent="0.25">
      <c r="B1" s="178" t="s">
        <v>131</v>
      </c>
      <c r="C1" s="178"/>
      <c r="D1" s="178"/>
      <c r="E1" s="178"/>
      <c r="F1" s="178"/>
    </row>
    <row r="4" spans="2:12" x14ac:dyDescent="0.25">
      <c r="B4" s="179" t="s">
        <v>20</v>
      </c>
      <c r="C4" s="179"/>
      <c r="D4" s="179"/>
      <c r="E4" s="179"/>
      <c r="F4" s="179"/>
      <c r="G4" s="86"/>
      <c r="H4" s="86"/>
      <c r="I4" s="86"/>
    </row>
    <row r="5" spans="2:12" ht="16.5" thickBot="1" x14ac:dyDescent="0.3">
      <c r="B5" s="113"/>
      <c r="C5" s="113"/>
      <c r="D5" s="113"/>
      <c r="E5" s="113"/>
      <c r="F5" s="113"/>
      <c r="G5" s="86"/>
      <c r="H5" s="86"/>
      <c r="I5" s="86"/>
    </row>
    <row r="6" spans="2:12" ht="16.5" thickBot="1" x14ac:dyDescent="0.3">
      <c r="B6" s="82"/>
      <c r="C6" s="180" t="s">
        <v>1</v>
      </c>
      <c r="D6" s="181"/>
      <c r="E6" s="180" t="s">
        <v>0</v>
      </c>
      <c r="F6" s="181"/>
      <c r="H6" s="86"/>
      <c r="I6" s="86"/>
      <c r="J6" s="86"/>
    </row>
    <row r="7" spans="2:12" x14ac:dyDescent="0.25">
      <c r="B7" s="113" t="s">
        <v>143</v>
      </c>
      <c r="C7" s="114" t="s">
        <v>101</v>
      </c>
      <c r="D7" s="115" t="s">
        <v>102</v>
      </c>
      <c r="E7" s="114" t="s">
        <v>101</v>
      </c>
      <c r="F7" s="115" t="s">
        <v>102</v>
      </c>
      <c r="H7" s="116"/>
      <c r="I7" s="117"/>
      <c r="J7" s="117"/>
    </row>
    <row r="8" spans="2:12" x14ac:dyDescent="0.25">
      <c r="B8" s="118" t="s">
        <v>2</v>
      </c>
      <c r="C8" s="119">
        <f>642022-57159-139489</f>
        <v>445374</v>
      </c>
      <c r="D8" s="120">
        <f>218652+39047+9082-30000</f>
        <v>236781</v>
      </c>
      <c r="E8" s="119">
        <f>580398-116165</f>
        <v>464233</v>
      </c>
      <c r="F8" s="120">
        <f>149792+26125+7219</f>
        <v>183136</v>
      </c>
      <c r="H8" s="121"/>
      <c r="I8" s="122"/>
      <c r="J8" s="122"/>
      <c r="K8" s="121"/>
      <c r="L8" s="121"/>
    </row>
    <row r="9" spans="2:12" x14ac:dyDescent="0.25">
      <c r="B9" s="123" t="s">
        <v>3</v>
      </c>
      <c r="C9" s="119">
        <v>57159</v>
      </c>
      <c r="D9" s="120">
        <v>30000</v>
      </c>
      <c r="E9" s="119"/>
      <c r="F9" s="120"/>
      <c r="H9" s="121"/>
      <c r="I9" s="122"/>
      <c r="J9" s="122"/>
      <c r="K9" s="121"/>
      <c r="L9" s="121"/>
    </row>
    <row r="10" spans="2:12" x14ac:dyDescent="0.25">
      <c r="B10" s="123" t="s">
        <v>4</v>
      </c>
      <c r="C10" s="119">
        <v>131554</v>
      </c>
      <c r="D10" s="120"/>
      <c r="E10" s="119">
        <v>116698</v>
      </c>
      <c r="F10" s="120"/>
      <c r="H10" s="121"/>
      <c r="I10" s="122"/>
      <c r="J10" s="122"/>
      <c r="K10" s="121"/>
      <c r="L10" s="121"/>
    </row>
    <row r="11" spans="2:12" x14ac:dyDescent="0.25">
      <c r="B11" s="123" t="s">
        <v>6</v>
      </c>
      <c r="C11" s="119">
        <f>521374-60283</f>
        <v>461091</v>
      </c>
      <c r="D11" s="120">
        <f>302585+10825+52426-9094</f>
        <v>356742</v>
      </c>
      <c r="E11" s="119">
        <f>536373-50055</f>
        <v>486318</v>
      </c>
      <c r="F11" s="120">
        <f>286553+46095+11949-6879</f>
        <v>337718</v>
      </c>
      <c r="H11" s="121"/>
      <c r="I11" s="122"/>
      <c r="J11" s="122"/>
      <c r="K11" s="121"/>
      <c r="L11" s="121"/>
    </row>
    <row r="12" spans="2:12" x14ac:dyDescent="0.25">
      <c r="B12" s="123" t="s">
        <v>5</v>
      </c>
      <c r="C12" s="119">
        <f>198002-35884</f>
        <v>162118</v>
      </c>
      <c r="D12" s="120">
        <f>327820+43954+10371-118470</f>
        <v>263675</v>
      </c>
      <c r="E12" s="119">
        <v>185713</v>
      </c>
      <c r="F12" s="120">
        <f>279235+38636+4943</f>
        <v>322814</v>
      </c>
      <c r="H12" s="121"/>
      <c r="I12" s="122"/>
      <c r="J12" s="122"/>
      <c r="K12" s="121"/>
      <c r="L12" s="121"/>
    </row>
    <row r="13" spans="2:12" x14ac:dyDescent="0.25">
      <c r="B13" s="123" t="s">
        <v>7</v>
      </c>
      <c r="C13" s="119">
        <v>35884</v>
      </c>
      <c r="D13" s="120">
        <v>118470</v>
      </c>
      <c r="E13" s="119"/>
      <c r="F13" s="120"/>
      <c r="H13" s="121"/>
      <c r="I13" s="122"/>
      <c r="J13" s="122"/>
      <c r="K13" s="121"/>
      <c r="L13" s="121"/>
    </row>
    <row r="14" spans="2:12" x14ac:dyDescent="0.25">
      <c r="B14" s="123" t="s">
        <v>8</v>
      </c>
      <c r="C14" s="119">
        <f>346361+108625</f>
        <v>454986</v>
      </c>
      <c r="D14" s="120">
        <f>163967+26302+9082-44929</f>
        <v>154422</v>
      </c>
      <c r="E14" s="119">
        <f>334858-67800</f>
        <v>267058</v>
      </c>
      <c r="F14" s="120">
        <f>143777+26239+3854-39750</f>
        <v>134120</v>
      </c>
      <c r="H14" s="121"/>
      <c r="I14" s="122"/>
      <c r="J14" s="122"/>
      <c r="K14" s="121"/>
      <c r="L14" s="121"/>
    </row>
    <row r="15" spans="2:12" x14ac:dyDescent="0.25">
      <c r="B15" s="123" t="s">
        <v>9</v>
      </c>
      <c r="C15" s="119">
        <v>108625</v>
      </c>
      <c r="D15" s="120">
        <v>44929</v>
      </c>
      <c r="E15" s="124">
        <v>67800</v>
      </c>
      <c r="F15" s="125">
        <v>39750</v>
      </c>
      <c r="H15" s="121"/>
      <c r="I15" s="122"/>
      <c r="J15" s="122"/>
      <c r="K15" s="121"/>
      <c r="L15" s="121"/>
    </row>
    <row r="16" spans="2:12" x14ac:dyDescent="0.25">
      <c r="B16" s="123" t="s">
        <v>33</v>
      </c>
      <c r="C16" s="119">
        <v>109247</v>
      </c>
      <c r="D16" s="120">
        <f>59155+13958+4724</f>
        <v>77837</v>
      </c>
      <c r="E16" s="119">
        <v>120350</v>
      </c>
      <c r="F16" s="120">
        <f>65239+20345+5432</f>
        <v>91016</v>
      </c>
      <c r="H16" s="121"/>
      <c r="I16" s="122"/>
      <c r="J16" s="122"/>
      <c r="K16" s="121"/>
      <c r="L16" s="121"/>
    </row>
    <row r="17" spans="2:12" x14ac:dyDescent="0.25">
      <c r="B17" s="123" t="s">
        <v>10</v>
      </c>
      <c r="C17" s="119">
        <v>113148</v>
      </c>
      <c r="D17" s="120"/>
      <c r="E17" s="119">
        <v>173201</v>
      </c>
      <c r="F17" s="120"/>
      <c r="H17" s="121"/>
      <c r="I17" s="122"/>
      <c r="J17" s="122"/>
      <c r="K17" s="121"/>
      <c r="L17" s="121"/>
    </row>
    <row r="18" spans="2:12" x14ac:dyDescent="0.25">
      <c r="B18" s="123" t="s">
        <v>11</v>
      </c>
      <c r="C18" s="119">
        <f>535654-483665</f>
        <v>51989</v>
      </c>
      <c r="D18" s="120">
        <f>124250+22800+6002</f>
        <v>153052</v>
      </c>
      <c r="E18" s="119">
        <f>552301-493073</f>
        <v>59228</v>
      </c>
      <c r="F18" s="120">
        <f>110750+22129+4615</f>
        <v>137494</v>
      </c>
      <c r="H18" s="121"/>
      <c r="I18" s="122"/>
      <c r="J18" s="122"/>
      <c r="K18" s="121"/>
      <c r="L18" s="121"/>
    </row>
    <row r="19" spans="2:12" x14ac:dyDescent="0.25">
      <c r="B19" s="123" t="s">
        <v>12</v>
      </c>
      <c r="C19" s="119">
        <f>232928-178752</f>
        <v>54176</v>
      </c>
      <c r="D19" s="120">
        <f>27394+6769+4724</f>
        <v>38887</v>
      </c>
      <c r="E19" s="119">
        <f>202144-155239</f>
        <v>46905</v>
      </c>
      <c r="F19" s="120">
        <f>20219+3068+467</f>
        <v>23754</v>
      </c>
      <c r="H19" s="121"/>
      <c r="I19" s="122"/>
      <c r="J19" s="122"/>
      <c r="K19" s="121"/>
      <c r="L19" s="121"/>
    </row>
    <row r="20" spans="2:12" x14ac:dyDescent="0.25">
      <c r="B20" s="123" t="s">
        <v>17</v>
      </c>
      <c r="C20" s="119">
        <v>60283</v>
      </c>
      <c r="D20" s="120">
        <v>9094</v>
      </c>
      <c r="E20" s="119">
        <v>50055</v>
      </c>
      <c r="F20" s="120">
        <v>6879</v>
      </c>
      <c r="H20" s="121"/>
      <c r="I20" s="122"/>
      <c r="J20" s="122"/>
      <c r="K20" s="121"/>
      <c r="L20" s="121"/>
    </row>
    <row r="21" spans="2:12" x14ac:dyDescent="0.25">
      <c r="B21" s="123" t="s">
        <v>32</v>
      </c>
      <c r="C21" s="119">
        <v>53056</v>
      </c>
      <c r="D21" s="120">
        <f>7603+1253+401</f>
        <v>9257</v>
      </c>
      <c r="E21" s="119">
        <v>55559</v>
      </c>
      <c r="F21" s="120">
        <f>6529+1397+453</f>
        <v>8379</v>
      </c>
      <c r="H21" s="121"/>
      <c r="I21" s="122"/>
      <c r="J21" s="122"/>
      <c r="K21" s="121"/>
      <c r="L21" s="121"/>
    </row>
    <row r="22" spans="2:12" x14ac:dyDescent="0.25">
      <c r="B22" s="123" t="s">
        <v>13</v>
      </c>
      <c r="C22" s="119">
        <v>8836</v>
      </c>
      <c r="D22" s="120"/>
      <c r="E22" s="119">
        <v>6127</v>
      </c>
      <c r="F22" s="120"/>
      <c r="H22" s="121"/>
      <c r="I22" s="122"/>
      <c r="J22" s="122"/>
      <c r="K22" s="121"/>
      <c r="L22" s="121"/>
    </row>
    <row r="23" spans="2:12" x14ac:dyDescent="0.25">
      <c r="B23" s="123" t="s">
        <v>30</v>
      </c>
      <c r="C23" s="119">
        <f>343849-33925</f>
        <v>309924</v>
      </c>
      <c r="D23" s="120">
        <f>124023+21925+7410</f>
        <v>153358</v>
      </c>
      <c r="E23" s="119">
        <f>392384-260351</f>
        <v>132033</v>
      </c>
      <c r="F23" s="120">
        <f>122437+24682+7760</f>
        <v>154879</v>
      </c>
      <c r="H23" s="121"/>
      <c r="I23" s="122"/>
      <c r="J23" s="122"/>
      <c r="K23" s="121"/>
      <c r="L23" s="121"/>
    </row>
    <row r="24" spans="2:12" x14ac:dyDescent="0.25">
      <c r="B24" s="123" t="s">
        <v>31</v>
      </c>
      <c r="C24" s="119">
        <f>233496-189791</f>
        <v>43705</v>
      </c>
      <c r="D24" s="120">
        <f>11171+2944+936</f>
        <v>15051</v>
      </c>
      <c r="E24" s="119">
        <f>215750-171206</f>
        <v>44544</v>
      </c>
      <c r="F24" s="120">
        <f>11356+2433+459</f>
        <v>14248</v>
      </c>
      <c r="H24" s="121"/>
      <c r="I24" s="122"/>
      <c r="J24" s="122"/>
      <c r="K24" s="121"/>
      <c r="L24" s="121"/>
    </row>
    <row r="25" spans="2:12" x14ac:dyDescent="0.25">
      <c r="B25" s="123" t="s">
        <v>14</v>
      </c>
      <c r="C25" s="119">
        <f>1042972-751562</f>
        <v>291410</v>
      </c>
      <c r="D25" s="120">
        <f>239666+46027+14173</f>
        <v>299866</v>
      </c>
      <c r="E25" s="119">
        <f>978502-674394</f>
        <v>304108</v>
      </c>
      <c r="F25" s="120">
        <f>205813+4580+9427</f>
        <v>219820</v>
      </c>
      <c r="H25" s="121"/>
      <c r="I25" s="122"/>
      <c r="J25" s="122"/>
      <c r="K25" s="121"/>
      <c r="L25" s="121"/>
    </row>
    <row r="26" spans="2:12" x14ac:dyDescent="0.25">
      <c r="B26" s="123" t="s">
        <v>15</v>
      </c>
      <c r="C26" s="119">
        <v>543346</v>
      </c>
      <c r="D26" s="120">
        <f>289162+49453+14173</f>
        <v>352788</v>
      </c>
      <c r="E26" s="119">
        <v>425509</v>
      </c>
      <c r="F26" s="120">
        <f>214678+47698+10165</f>
        <v>272541</v>
      </c>
      <c r="H26" s="121"/>
      <c r="I26" s="122"/>
      <c r="J26" s="122"/>
      <c r="K26" s="121"/>
      <c r="L26" s="121"/>
    </row>
    <row r="27" spans="2:12" x14ac:dyDescent="0.25">
      <c r="B27" s="123" t="s">
        <v>16</v>
      </c>
      <c r="C27" s="119">
        <f>2399148-1361906</f>
        <v>1037242</v>
      </c>
      <c r="D27" s="120">
        <f>309644+73908+31995</f>
        <v>415547</v>
      </c>
      <c r="E27" s="119">
        <f>2693662-1473500</f>
        <v>1220162</v>
      </c>
      <c r="F27" s="120">
        <f>306519+73350+25635</f>
        <v>405504</v>
      </c>
      <c r="H27" s="121"/>
      <c r="I27" s="122"/>
      <c r="J27" s="122"/>
      <c r="K27" s="121"/>
      <c r="L27" s="121"/>
    </row>
    <row r="28" spans="2:12" ht="16.5" thickBot="1" x14ac:dyDescent="0.3">
      <c r="B28" s="126" t="s">
        <v>137</v>
      </c>
      <c r="C28" s="127">
        <f>SUM(C8:C27)</f>
        <v>4533153</v>
      </c>
      <c r="D28" s="128">
        <f>SUM(D8:D27)</f>
        <v>2729756</v>
      </c>
      <c r="E28" s="127">
        <f>SUM(E8:E27)</f>
        <v>4225601</v>
      </c>
      <c r="F28" s="128">
        <f>SUM(F8:F27)</f>
        <v>2352052</v>
      </c>
      <c r="H28" s="121"/>
      <c r="I28" s="122"/>
      <c r="J28" s="122"/>
      <c r="K28" s="121"/>
      <c r="L28" s="121"/>
    </row>
    <row r="29" spans="2:12" ht="16.5" thickBot="1" x14ac:dyDescent="0.3">
      <c r="B29" s="129"/>
      <c r="C29" s="130"/>
      <c r="D29" s="130"/>
      <c r="E29" s="130"/>
      <c r="F29" s="130"/>
      <c r="H29" s="121"/>
      <c r="I29" s="122"/>
      <c r="J29" s="122"/>
      <c r="K29" s="121"/>
      <c r="L29" s="121"/>
    </row>
    <row r="30" spans="2:12" x14ac:dyDescent="0.25">
      <c r="B30" s="131" t="s">
        <v>18</v>
      </c>
      <c r="C30" s="182">
        <v>889227</v>
      </c>
      <c r="D30" s="183"/>
      <c r="E30" s="182">
        <v>807349</v>
      </c>
      <c r="F30" s="183"/>
      <c r="H30" s="121"/>
      <c r="I30" s="122"/>
      <c r="J30" s="122"/>
      <c r="K30" s="121"/>
      <c r="L30" s="121"/>
    </row>
    <row r="31" spans="2:12" x14ac:dyDescent="0.25">
      <c r="B31" s="132" t="s">
        <v>19</v>
      </c>
      <c r="C31" s="188">
        <f>1229459-16347+77043</f>
        <v>1290155</v>
      </c>
      <c r="D31" s="189"/>
      <c r="E31" s="190">
        <v>1421410</v>
      </c>
      <c r="F31" s="191"/>
      <c r="H31" s="121"/>
      <c r="I31" s="122"/>
      <c r="J31" s="122"/>
      <c r="K31" s="121"/>
      <c r="L31" s="121"/>
    </row>
    <row r="32" spans="2:12" ht="16.5" thickBot="1" x14ac:dyDescent="0.3">
      <c r="B32" s="133" t="s">
        <v>132</v>
      </c>
      <c r="C32" s="192">
        <f>15715378+3342640</f>
        <v>19058018</v>
      </c>
      <c r="D32" s="193"/>
      <c r="E32" s="194">
        <f>15336558+3343928</f>
        <v>18680486</v>
      </c>
      <c r="F32" s="195"/>
      <c r="H32" s="121"/>
      <c r="I32" s="122"/>
      <c r="J32" s="122"/>
      <c r="K32" s="121"/>
      <c r="L32" s="121"/>
    </row>
    <row r="33" spans="2:12" x14ac:dyDescent="0.25">
      <c r="B33" s="134" t="s">
        <v>148</v>
      </c>
      <c r="C33" s="117"/>
      <c r="D33" s="117"/>
      <c r="E33" s="135"/>
      <c r="F33" s="135"/>
      <c r="H33" s="121"/>
      <c r="I33" s="122"/>
      <c r="J33" s="122"/>
      <c r="K33" s="121"/>
      <c r="L33" s="121"/>
    </row>
    <row r="34" spans="2:12" x14ac:dyDescent="0.25">
      <c r="B34" s="60"/>
      <c r="C34" s="60"/>
      <c r="D34" s="60"/>
      <c r="E34" s="60"/>
      <c r="F34" s="60"/>
      <c r="H34" s="121"/>
      <c r="I34" s="122"/>
      <c r="J34" s="122"/>
      <c r="K34" s="121"/>
      <c r="L34" s="121"/>
    </row>
    <row r="35" spans="2:12" x14ac:dyDescent="0.25">
      <c r="B35" s="134" t="s">
        <v>157</v>
      </c>
      <c r="C35" s="60"/>
      <c r="D35" s="136"/>
      <c r="E35" s="136"/>
      <c r="F35" s="136"/>
      <c r="G35" s="60"/>
      <c r="H35" s="121"/>
      <c r="I35" s="122"/>
      <c r="J35" s="122"/>
      <c r="K35" s="121"/>
      <c r="L35" s="121"/>
    </row>
    <row r="36" spans="2:12" x14ac:dyDescent="0.25">
      <c r="B36" s="134" t="s">
        <v>144</v>
      </c>
      <c r="C36" s="60"/>
      <c r="D36" s="60"/>
      <c r="E36" s="60"/>
      <c r="F36" s="60"/>
      <c r="G36" s="60"/>
    </row>
    <row r="37" spans="2:12" x14ac:dyDescent="0.25">
      <c r="B37" s="134"/>
      <c r="C37" s="60"/>
      <c r="D37" s="60"/>
      <c r="E37" s="60"/>
      <c r="F37" s="60"/>
      <c r="G37" s="60"/>
    </row>
    <row r="38" spans="2:12" x14ac:dyDescent="0.25">
      <c r="B38" s="134"/>
      <c r="C38" s="60"/>
      <c r="D38" s="60"/>
      <c r="E38" s="60"/>
      <c r="F38" s="60"/>
      <c r="G38" s="60"/>
    </row>
    <row r="39" spans="2:12" x14ac:dyDescent="0.25">
      <c r="B39" s="60"/>
      <c r="C39" s="60"/>
      <c r="D39" s="60"/>
      <c r="E39" s="60"/>
      <c r="F39" s="60"/>
      <c r="G39" s="60"/>
      <c r="H39" s="121"/>
      <c r="I39" s="122"/>
      <c r="J39" s="122"/>
    </row>
    <row r="40" spans="2:12" x14ac:dyDescent="0.25">
      <c r="B40" s="179" t="s">
        <v>24</v>
      </c>
      <c r="C40" s="179"/>
      <c r="D40" s="179"/>
      <c r="E40" s="179"/>
      <c r="F40" s="179"/>
      <c r="G40" s="60"/>
      <c r="H40" s="121"/>
      <c r="I40" s="121"/>
      <c r="J40" s="121"/>
    </row>
    <row r="41" spans="2:12" ht="16.5" thickBot="1" x14ac:dyDescent="0.3">
      <c r="B41" s="60"/>
      <c r="C41" s="60"/>
      <c r="D41" s="60"/>
      <c r="E41" s="60"/>
      <c r="F41" s="60"/>
      <c r="G41" s="60"/>
    </row>
    <row r="42" spans="2:12" ht="16.5" thickBot="1" x14ac:dyDescent="0.3">
      <c r="B42" s="60" t="s">
        <v>26</v>
      </c>
      <c r="C42" s="180" t="s">
        <v>1</v>
      </c>
      <c r="D42" s="181"/>
      <c r="E42" s="180" t="s">
        <v>0</v>
      </c>
      <c r="F42" s="181"/>
      <c r="G42" s="60"/>
    </row>
    <row r="43" spans="2:12" x14ac:dyDescent="0.25">
      <c r="B43" s="123" t="s">
        <v>25</v>
      </c>
      <c r="C43" s="184">
        <f>584451+63008+63041</f>
        <v>710500</v>
      </c>
      <c r="D43" s="185"/>
      <c r="E43" s="184">
        <f>611170+70425+68099</f>
        <v>749694</v>
      </c>
      <c r="F43" s="185"/>
      <c r="G43" s="60"/>
    </row>
    <row r="44" spans="2:12" ht="16.5" thickBot="1" x14ac:dyDescent="0.3">
      <c r="B44" s="123" t="s">
        <v>27</v>
      </c>
      <c r="C44" s="186">
        <f>45535+3661+3125</f>
        <v>52321</v>
      </c>
      <c r="D44" s="187"/>
      <c r="E44" s="186">
        <f>45070+4210+2737</f>
        <v>52017</v>
      </c>
      <c r="F44" s="187"/>
      <c r="G44" s="60"/>
    </row>
    <row r="45" spans="2:12" x14ac:dyDescent="0.25">
      <c r="B45" s="60"/>
      <c r="C45" s="60"/>
      <c r="D45" s="60"/>
      <c r="E45" s="60"/>
      <c r="F45" s="60"/>
      <c r="G45" s="60"/>
    </row>
    <row r="46" spans="2:12" x14ac:dyDescent="0.25">
      <c r="B46" s="60"/>
      <c r="C46" s="60"/>
      <c r="D46" s="60"/>
      <c r="E46" s="60"/>
      <c r="F46" s="60"/>
      <c r="G46" s="60"/>
    </row>
    <row r="47" spans="2:12" x14ac:dyDescent="0.25">
      <c r="B47" s="60"/>
      <c r="C47" s="60"/>
      <c r="D47" s="60"/>
      <c r="E47" s="60"/>
      <c r="F47" s="60"/>
      <c r="G47" s="60"/>
    </row>
    <row r="48" spans="2:12" x14ac:dyDescent="0.25">
      <c r="B48" s="60"/>
      <c r="C48" s="60"/>
      <c r="D48" s="60"/>
      <c r="E48" s="60"/>
      <c r="F48" s="60"/>
      <c r="G48" s="60"/>
    </row>
    <row r="49" spans="2:7" x14ac:dyDescent="0.25">
      <c r="B49" s="60"/>
      <c r="C49" s="60"/>
      <c r="D49" s="60"/>
      <c r="E49" s="60"/>
      <c r="F49" s="60"/>
      <c r="G49" s="60"/>
    </row>
  </sheetData>
  <mergeCells count="17">
    <mergeCell ref="C43:D43"/>
    <mergeCell ref="E43:F43"/>
    <mergeCell ref="C44:D44"/>
    <mergeCell ref="E44:F44"/>
    <mergeCell ref="C31:D31"/>
    <mergeCell ref="E31:F31"/>
    <mergeCell ref="C32:D32"/>
    <mergeCell ref="E32:F32"/>
    <mergeCell ref="B40:F40"/>
    <mergeCell ref="C42:D42"/>
    <mergeCell ref="E42:F42"/>
    <mergeCell ref="B1:F1"/>
    <mergeCell ref="B4:F4"/>
    <mergeCell ref="C6:D6"/>
    <mergeCell ref="E6:F6"/>
    <mergeCell ref="C30:D30"/>
    <mergeCell ref="E30:F30"/>
  </mergeCells>
  <pageMargins left="0.25" right="0.25" top="0.75" bottom="0.75" header="0.3" footer="0.3"/>
  <pageSetup orientation="portrait" useFirstPageNumber="1" r:id="rId1"/>
  <headerFooter>
    <oddHeader>&amp;RPage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showWhiteSpace="0" view="pageLayout" topLeftCell="A16" zoomScaleNormal="100" workbookViewId="0">
      <selection activeCell="C34" sqref="C34"/>
    </sheetView>
  </sheetViews>
  <sheetFormatPr defaultRowHeight="15.75" x14ac:dyDescent="0.25"/>
  <cols>
    <col min="1" max="1" width="9.140625" style="74"/>
    <col min="2" max="2" width="34.42578125" style="74" customWidth="1"/>
    <col min="3" max="3" width="12" style="74" bestFit="1" customWidth="1"/>
    <col min="4" max="4" width="10" style="74" customWidth="1"/>
    <col min="5" max="5" width="8.7109375" style="74" bestFit="1" customWidth="1"/>
    <col min="6" max="6" width="10.28515625" style="74" customWidth="1"/>
    <col min="7" max="16384" width="9.140625" style="74"/>
  </cols>
  <sheetData>
    <row r="1" spans="2:6" ht="16.5" thickBot="1" x14ac:dyDescent="0.3">
      <c r="B1" s="196" t="s">
        <v>149</v>
      </c>
      <c r="C1" s="196"/>
      <c r="D1" s="196"/>
      <c r="E1" s="196"/>
      <c r="F1" s="196"/>
    </row>
    <row r="2" spans="2:6" ht="32.25" thickBot="1" x14ac:dyDescent="0.3">
      <c r="B2" s="87" t="s">
        <v>74</v>
      </c>
      <c r="C2" s="88" t="s">
        <v>158</v>
      </c>
      <c r="D2" s="89" t="s">
        <v>76</v>
      </c>
      <c r="E2" s="90" t="s">
        <v>77</v>
      </c>
      <c r="F2" s="91" t="s">
        <v>159</v>
      </c>
    </row>
    <row r="3" spans="2:6" ht="16.5" thickBot="1" x14ac:dyDescent="0.3">
      <c r="B3" s="92" t="s">
        <v>73</v>
      </c>
      <c r="C3" s="93">
        <v>1415</v>
      </c>
      <c r="D3" s="94">
        <v>1502</v>
      </c>
      <c r="E3" s="94">
        <v>1311</v>
      </c>
      <c r="F3" s="94">
        <v>1412</v>
      </c>
    </row>
    <row r="4" spans="2:6" ht="16.5" thickBot="1" x14ac:dyDescent="0.3">
      <c r="B4" s="92" t="s">
        <v>72</v>
      </c>
      <c r="C4" s="93">
        <v>996</v>
      </c>
      <c r="D4" s="94">
        <v>628</v>
      </c>
      <c r="E4" s="94">
        <v>750</v>
      </c>
      <c r="F4" s="94">
        <v>570</v>
      </c>
    </row>
    <row r="5" spans="2:6" ht="16.5" thickBot="1" x14ac:dyDescent="0.3">
      <c r="B5" s="92" t="s">
        <v>71</v>
      </c>
      <c r="C5" s="93">
        <v>1604</v>
      </c>
      <c r="D5" s="94">
        <v>1723</v>
      </c>
      <c r="E5" s="94">
        <v>1828</v>
      </c>
      <c r="F5" s="94">
        <v>1615</v>
      </c>
    </row>
    <row r="6" spans="2:6" ht="16.5" thickBot="1" x14ac:dyDescent="0.3">
      <c r="B6" s="92" t="s">
        <v>70</v>
      </c>
      <c r="C6" s="93">
        <v>14</v>
      </c>
      <c r="D6" s="94">
        <v>27</v>
      </c>
      <c r="E6" s="94">
        <v>30</v>
      </c>
      <c r="F6" s="94">
        <v>34</v>
      </c>
    </row>
    <row r="7" spans="2:6" ht="16.5" thickBot="1" x14ac:dyDescent="0.3">
      <c r="B7" s="92" t="s">
        <v>69</v>
      </c>
      <c r="C7" s="93">
        <v>692</v>
      </c>
      <c r="D7" s="94">
        <v>569</v>
      </c>
      <c r="E7" s="94">
        <v>668</v>
      </c>
      <c r="F7" s="94">
        <v>761</v>
      </c>
    </row>
    <row r="8" spans="2:6" ht="16.5" thickBot="1" x14ac:dyDescent="0.3">
      <c r="B8" s="92" t="s">
        <v>68</v>
      </c>
      <c r="C8" s="93">
        <v>601</v>
      </c>
      <c r="D8" s="94">
        <v>744</v>
      </c>
      <c r="E8" s="94">
        <v>899</v>
      </c>
      <c r="F8" s="94">
        <v>770</v>
      </c>
    </row>
    <row r="9" spans="2:6" ht="16.5" thickBot="1" x14ac:dyDescent="0.3">
      <c r="B9" s="95" t="s">
        <v>67</v>
      </c>
      <c r="C9" s="96">
        <f>SUM(C3:C8)</f>
        <v>5322</v>
      </c>
      <c r="D9" s="96">
        <f>SUM(D3:D8)</f>
        <v>5193</v>
      </c>
      <c r="E9" s="96">
        <f>SUM(E3:E8)</f>
        <v>5486</v>
      </c>
      <c r="F9" s="96">
        <f>SUM(F3:F8)</f>
        <v>5162</v>
      </c>
    </row>
    <row r="10" spans="2:6" ht="17.25" thickTop="1" thickBot="1" x14ac:dyDescent="0.3">
      <c r="B10" s="92" t="s">
        <v>66</v>
      </c>
      <c r="C10" s="93">
        <v>51</v>
      </c>
      <c r="D10" s="97">
        <v>37</v>
      </c>
      <c r="E10" s="97">
        <v>49</v>
      </c>
      <c r="F10" s="97">
        <v>32</v>
      </c>
    </row>
    <row r="11" spans="2:6" ht="16.5" thickBot="1" x14ac:dyDescent="0.3">
      <c r="B11" s="92" t="s">
        <v>65</v>
      </c>
      <c r="C11" s="93">
        <v>12</v>
      </c>
      <c r="D11" s="94">
        <v>6</v>
      </c>
      <c r="E11" s="94">
        <v>9</v>
      </c>
      <c r="F11" s="94">
        <v>17</v>
      </c>
    </row>
    <row r="12" spans="2:6" ht="16.5" thickBot="1" x14ac:dyDescent="0.3">
      <c r="B12" s="92" t="s">
        <v>64</v>
      </c>
      <c r="C12" s="93">
        <v>39</v>
      </c>
      <c r="D12" s="94">
        <v>28</v>
      </c>
      <c r="E12" s="94">
        <v>37</v>
      </c>
      <c r="F12" s="94">
        <v>25</v>
      </c>
    </row>
    <row r="13" spans="2:6" ht="16.5" thickBot="1" x14ac:dyDescent="0.3">
      <c r="B13" s="92" t="s">
        <v>63</v>
      </c>
      <c r="C13" s="93">
        <v>24</v>
      </c>
      <c r="D13" s="94">
        <v>13</v>
      </c>
      <c r="E13" s="94">
        <v>15</v>
      </c>
      <c r="F13" s="94">
        <v>12</v>
      </c>
    </row>
    <row r="14" spans="2:6" ht="15.75" customHeight="1" thickBot="1" x14ac:dyDescent="0.3">
      <c r="B14" s="92" t="s">
        <v>62</v>
      </c>
      <c r="C14" s="93">
        <v>19</v>
      </c>
      <c r="D14" s="94">
        <v>14</v>
      </c>
      <c r="E14" s="94">
        <v>37</v>
      </c>
      <c r="F14" s="94">
        <v>23</v>
      </c>
    </row>
    <row r="15" spans="2:6" ht="16.5" thickBot="1" x14ac:dyDescent="0.3">
      <c r="B15" s="92" t="s">
        <v>59</v>
      </c>
      <c r="C15" s="93">
        <v>239</v>
      </c>
      <c r="D15" s="94">
        <v>160</v>
      </c>
      <c r="E15" s="94">
        <v>224</v>
      </c>
      <c r="F15" s="94">
        <v>156</v>
      </c>
    </row>
    <row r="16" spans="2:6" ht="16.5" thickBot="1" x14ac:dyDescent="0.3">
      <c r="B16" s="92" t="s">
        <v>61</v>
      </c>
      <c r="C16" s="93">
        <v>450</v>
      </c>
      <c r="D16" s="94">
        <v>398</v>
      </c>
      <c r="E16" s="94">
        <v>421</v>
      </c>
      <c r="F16" s="94">
        <v>316</v>
      </c>
    </row>
    <row r="17" spans="2:6" ht="16.5" thickBot="1" x14ac:dyDescent="0.3">
      <c r="B17" s="92" t="s">
        <v>60</v>
      </c>
      <c r="C17" s="93">
        <v>1402</v>
      </c>
      <c r="D17" s="94">
        <v>1218</v>
      </c>
      <c r="E17" s="94">
        <v>1346</v>
      </c>
      <c r="F17" s="94">
        <v>978</v>
      </c>
    </row>
    <row r="18" spans="2:6" ht="16.5" thickBot="1" x14ac:dyDescent="0.3">
      <c r="B18" s="95" t="s">
        <v>58</v>
      </c>
      <c r="C18" s="96">
        <f>SUM(C10:C17)</f>
        <v>2236</v>
      </c>
      <c r="D18" s="96">
        <f>SUM(D10:D17)</f>
        <v>1874</v>
      </c>
      <c r="E18" s="96">
        <f>SUM(E10:E17)</f>
        <v>2138</v>
      </c>
      <c r="F18" s="96">
        <f>SUM(F10:F17)</f>
        <v>1559</v>
      </c>
    </row>
    <row r="19" spans="2:6" ht="17.25" thickTop="1" thickBot="1" x14ac:dyDescent="0.3">
      <c r="B19" s="92" t="s">
        <v>57</v>
      </c>
      <c r="C19" s="93">
        <v>18</v>
      </c>
      <c r="D19" s="97">
        <v>17</v>
      </c>
      <c r="E19" s="97">
        <v>18</v>
      </c>
      <c r="F19" s="97">
        <v>15</v>
      </c>
    </row>
    <row r="20" spans="2:6" ht="16.5" thickBot="1" x14ac:dyDescent="0.3">
      <c r="B20" s="92" t="s">
        <v>56</v>
      </c>
      <c r="C20" s="93">
        <v>173</v>
      </c>
      <c r="D20" s="94">
        <v>184</v>
      </c>
      <c r="E20" s="94">
        <v>172</v>
      </c>
      <c r="F20" s="94">
        <v>177</v>
      </c>
    </row>
    <row r="21" spans="2:6" ht="16.5" thickBot="1" x14ac:dyDescent="0.3">
      <c r="B21" s="92" t="s">
        <v>55</v>
      </c>
      <c r="C21" s="93">
        <v>3</v>
      </c>
      <c r="D21" s="94">
        <v>6</v>
      </c>
      <c r="E21" s="94"/>
      <c r="F21" s="94">
        <v>5</v>
      </c>
    </row>
    <row r="22" spans="2:6" ht="16.5" thickBot="1" x14ac:dyDescent="0.3">
      <c r="B22" s="92" t="s">
        <v>54</v>
      </c>
      <c r="C22" s="93">
        <v>7</v>
      </c>
      <c r="D22" s="94">
        <v>1</v>
      </c>
      <c r="E22" s="94">
        <v>4</v>
      </c>
      <c r="F22" s="94">
        <v>3</v>
      </c>
    </row>
    <row r="23" spans="2:6" ht="16.5" thickBot="1" x14ac:dyDescent="0.3">
      <c r="B23" s="95" t="s">
        <v>53</v>
      </c>
      <c r="C23" s="96">
        <f>SUM(C19:C22)</f>
        <v>201</v>
      </c>
      <c r="D23" s="96">
        <f>SUM(D19:D22)</f>
        <v>208</v>
      </c>
      <c r="E23" s="96">
        <f>SUM(E19:E22)</f>
        <v>194</v>
      </c>
      <c r="F23" s="96">
        <f>SUM(F19:F22)</f>
        <v>200</v>
      </c>
    </row>
    <row r="24" spans="2:6" ht="17.25" thickTop="1" thickBot="1" x14ac:dyDescent="0.3">
      <c r="B24" s="98" t="s">
        <v>52</v>
      </c>
      <c r="C24" s="99">
        <v>7759</v>
      </c>
      <c r="D24" s="100">
        <v>7275</v>
      </c>
      <c r="E24" s="101">
        <v>7818</v>
      </c>
      <c r="F24" s="101">
        <v>6916</v>
      </c>
    </row>
    <row r="25" spans="2:6" x14ac:dyDescent="0.25">
      <c r="B25" s="102"/>
    </row>
    <row r="27" spans="2:6" ht="16.5" thickBot="1" x14ac:dyDescent="0.3">
      <c r="B27" s="196" t="s">
        <v>145</v>
      </c>
      <c r="C27" s="196"/>
      <c r="D27" s="196"/>
      <c r="E27" s="196"/>
      <c r="F27" s="196"/>
    </row>
    <row r="28" spans="2:6" ht="32.25" thickBot="1" x14ac:dyDescent="0.3">
      <c r="B28" s="157" t="s">
        <v>81</v>
      </c>
      <c r="C28" s="158" t="s">
        <v>82</v>
      </c>
      <c r="D28" s="158" t="s">
        <v>133</v>
      </c>
      <c r="E28" s="103" t="s">
        <v>146</v>
      </c>
      <c r="F28" s="104" t="s">
        <v>147</v>
      </c>
    </row>
    <row r="29" spans="2:6" x14ac:dyDescent="0.25">
      <c r="B29" s="105" t="s">
        <v>22</v>
      </c>
      <c r="C29" s="105" t="s">
        <v>84</v>
      </c>
      <c r="D29" s="106">
        <v>150</v>
      </c>
      <c r="E29" s="106">
        <v>2007</v>
      </c>
      <c r="F29" s="106">
        <v>1928</v>
      </c>
    </row>
    <row r="30" spans="2:6" x14ac:dyDescent="0.25">
      <c r="B30" s="107" t="s">
        <v>21</v>
      </c>
      <c r="C30" s="107" t="s">
        <v>83</v>
      </c>
      <c r="D30" s="108">
        <v>50</v>
      </c>
      <c r="E30" s="108">
        <v>1960</v>
      </c>
      <c r="F30" s="108">
        <v>1883</v>
      </c>
    </row>
    <row r="31" spans="2:6" x14ac:dyDescent="0.25">
      <c r="B31" s="107" t="s">
        <v>23</v>
      </c>
      <c r="C31" s="107" t="s">
        <v>85</v>
      </c>
      <c r="D31" s="108">
        <v>175</v>
      </c>
      <c r="E31" s="108">
        <v>1856</v>
      </c>
      <c r="F31" s="108">
        <v>1783</v>
      </c>
    </row>
    <row r="32" spans="2:6" x14ac:dyDescent="0.25">
      <c r="B32" s="109">
        <v>15</v>
      </c>
      <c r="C32" s="107" t="s">
        <v>85</v>
      </c>
      <c r="D32" s="108">
        <v>75</v>
      </c>
      <c r="E32" s="108">
        <v>1803</v>
      </c>
      <c r="F32" s="108">
        <v>1732</v>
      </c>
    </row>
    <row r="33" spans="2:6" x14ac:dyDescent="0.25">
      <c r="B33" s="109">
        <v>10</v>
      </c>
      <c r="C33" s="107" t="s">
        <v>86</v>
      </c>
      <c r="D33" s="108">
        <v>125</v>
      </c>
      <c r="E33" s="108">
        <v>1674</v>
      </c>
      <c r="F33" s="108">
        <v>1608</v>
      </c>
    </row>
    <row r="34" spans="2:6" x14ac:dyDescent="0.25">
      <c r="B34" s="109" t="s">
        <v>94</v>
      </c>
      <c r="C34" s="107" t="s">
        <v>93</v>
      </c>
      <c r="D34" s="108">
        <v>115</v>
      </c>
      <c r="E34" s="108">
        <v>1166</v>
      </c>
      <c r="F34" s="108">
        <v>1120</v>
      </c>
    </row>
    <row r="35" spans="2:6" x14ac:dyDescent="0.25">
      <c r="B35" s="109" t="s">
        <v>87</v>
      </c>
      <c r="C35" s="107" t="s">
        <v>88</v>
      </c>
      <c r="D35" s="108">
        <v>50</v>
      </c>
      <c r="E35" s="108">
        <v>734</v>
      </c>
      <c r="F35" s="108">
        <v>705</v>
      </c>
    </row>
    <row r="36" spans="2:6" x14ac:dyDescent="0.25">
      <c r="B36" s="109" t="s">
        <v>89</v>
      </c>
      <c r="C36" s="107" t="s">
        <v>90</v>
      </c>
      <c r="D36" s="108">
        <v>65</v>
      </c>
      <c r="E36" s="108">
        <v>300</v>
      </c>
      <c r="F36" s="108">
        <v>288</v>
      </c>
    </row>
    <row r="37" spans="2:6" x14ac:dyDescent="0.25">
      <c r="B37" s="109" t="s">
        <v>91</v>
      </c>
      <c r="C37" s="107" t="s">
        <v>92</v>
      </c>
      <c r="D37" s="108">
        <v>500</v>
      </c>
      <c r="E37" s="108">
        <v>779</v>
      </c>
      <c r="F37" s="108">
        <v>748</v>
      </c>
    </row>
    <row r="38" spans="2:6" x14ac:dyDescent="0.25">
      <c r="B38" s="110" t="s">
        <v>95</v>
      </c>
      <c r="D38" s="111"/>
    </row>
    <row r="39" spans="2:6" x14ac:dyDescent="0.25">
      <c r="B39" s="112" t="s">
        <v>150</v>
      </c>
    </row>
  </sheetData>
  <mergeCells count="2">
    <mergeCell ref="B1:F1"/>
    <mergeCell ref="B27:F27"/>
  </mergeCells>
  <pageMargins left="0.25" right="0.25" top="0.75" bottom="0.75" header="0.3" footer="0.3"/>
  <pageSetup orientation="portrait" r:id="rId1"/>
  <headerFooter>
    <oddHeader xml:space="preserve">&amp;CAttachment D&amp;RPage 2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9"/>
  <sheetViews>
    <sheetView view="pageLayout" zoomScaleNormal="100" workbookViewId="0">
      <selection activeCell="F9" sqref="F9"/>
    </sheetView>
  </sheetViews>
  <sheetFormatPr defaultRowHeight="15.75" x14ac:dyDescent="0.25"/>
  <cols>
    <col min="1" max="1" width="9.140625" style="74"/>
    <col min="2" max="2" width="22.28515625" style="74" customWidth="1"/>
    <col min="3" max="3" width="20" style="74" customWidth="1"/>
    <col min="4" max="4" width="21.140625" style="74" bestFit="1" customWidth="1"/>
    <col min="5" max="5" width="10.28515625" style="74" customWidth="1"/>
    <col min="6" max="6" width="10.7109375" style="74" customWidth="1"/>
    <col min="7" max="8" width="9.28515625" style="74" bestFit="1" customWidth="1"/>
    <col min="9" max="9" width="9.85546875" style="74" bestFit="1" customWidth="1"/>
    <col min="10" max="16384" width="9.140625" style="74"/>
  </cols>
  <sheetData>
    <row r="3" spans="2:4" ht="16.5" thickBot="1" x14ac:dyDescent="0.3">
      <c r="B3" s="197" t="s">
        <v>47</v>
      </c>
      <c r="C3" s="197"/>
      <c r="D3" s="197"/>
    </row>
    <row r="4" spans="2:4" ht="16.5" thickBot="1" x14ac:dyDescent="0.3">
      <c r="C4" s="159" t="s">
        <v>79</v>
      </c>
      <c r="D4" s="94" t="s">
        <v>80</v>
      </c>
    </row>
    <row r="5" spans="2:4" x14ac:dyDescent="0.25">
      <c r="B5" s="107" t="s">
        <v>22</v>
      </c>
      <c r="C5" s="160">
        <v>0.44</v>
      </c>
      <c r="D5" s="160">
        <v>0.45</v>
      </c>
    </row>
    <row r="6" spans="2:4" x14ac:dyDescent="0.25">
      <c r="B6" s="107" t="s">
        <v>21</v>
      </c>
      <c r="C6" s="161">
        <v>0.45</v>
      </c>
      <c r="D6" s="161">
        <v>0.35</v>
      </c>
    </row>
    <row r="7" spans="2:4" x14ac:dyDescent="0.25">
      <c r="B7" s="107" t="s">
        <v>23</v>
      </c>
      <c r="C7" s="161">
        <v>0.47</v>
      </c>
      <c r="D7" s="161">
        <v>0.45</v>
      </c>
    </row>
    <row r="8" spans="2:4" x14ac:dyDescent="0.25">
      <c r="B8" s="109">
        <v>15</v>
      </c>
      <c r="C8" s="161">
        <v>0.46</v>
      </c>
      <c r="D8" s="161">
        <v>0.44</v>
      </c>
    </row>
    <row r="9" spans="2:4" x14ac:dyDescent="0.25">
      <c r="B9" s="109">
        <v>10</v>
      </c>
      <c r="C9" s="161">
        <v>0.47</v>
      </c>
      <c r="D9" s="161">
        <v>0.48</v>
      </c>
    </row>
    <row r="10" spans="2:4" x14ac:dyDescent="0.25">
      <c r="B10" s="109" t="s">
        <v>40</v>
      </c>
      <c r="C10" s="161">
        <v>0.46</v>
      </c>
      <c r="D10" s="161">
        <v>0.56999999999999995</v>
      </c>
    </row>
    <row r="11" spans="2:4" x14ac:dyDescent="0.25">
      <c r="B11" s="107" t="s">
        <v>37</v>
      </c>
      <c r="C11" s="161">
        <v>0.23499999999999999</v>
      </c>
      <c r="D11" s="161">
        <v>0.23</v>
      </c>
    </row>
    <row r="12" spans="2:4" x14ac:dyDescent="0.25">
      <c r="B12" s="107" t="s">
        <v>38</v>
      </c>
      <c r="C12" s="161">
        <v>0.34</v>
      </c>
      <c r="D12" s="161">
        <v>0.24</v>
      </c>
    </row>
    <row r="13" spans="2:4" x14ac:dyDescent="0.25">
      <c r="B13" s="107" t="s">
        <v>39</v>
      </c>
      <c r="C13" s="161">
        <v>0.6</v>
      </c>
      <c r="D13" s="161">
        <v>0.59</v>
      </c>
    </row>
    <row r="15" spans="2:4" ht="16.5" thickBot="1" x14ac:dyDescent="0.3">
      <c r="B15" s="197" t="s">
        <v>36</v>
      </c>
      <c r="C15" s="197"/>
      <c r="D15" s="197"/>
    </row>
    <row r="16" spans="2:4" ht="16.5" thickBot="1" x14ac:dyDescent="0.3">
      <c r="B16" s="74" t="s">
        <v>26</v>
      </c>
      <c r="C16" s="159" t="s">
        <v>79</v>
      </c>
      <c r="D16" s="94" t="s">
        <v>80</v>
      </c>
    </row>
    <row r="17" spans="2:9" x14ac:dyDescent="0.25">
      <c r="B17" s="107" t="s">
        <v>28</v>
      </c>
      <c r="C17" s="162">
        <f>161150+26325+7083</f>
        <v>194558</v>
      </c>
      <c r="D17" s="162">
        <f>174156+30436+5908</f>
        <v>210500</v>
      </c>
    </row>
    <row r="18" spans="2:9" x14ac:dyDescent="0.25">
      <c r="B18" s="107" t="s">
        <v>30</v>
      </c>
      <c r="C18" s="163">
        <f>28643+4144+1138</f>
        <v>33925</v>
      </c>
      <c r="D18" s="163">
        <f>31908+4716+569</f>
        <v>37193</v>
      </c>
    </row>
    <row r="19" spans="2:9" x14ac:dyDescent="0.25">
      <c r="B19" s="107" t="s">
        <v>35</v>
      </c>
      <c r="C19" s="163">
        <f>57720+9210+2165</f>
        <v>69095</v>
      </c>
      <c r="D19" s="163">
        <f>58422+10634+1383</f>
        <v>70439</v>
      </c>
    </row>
    <row r="20" spans="2:9" x14ac:dyDescent="0.25">
      <c r="B20" s="107" t="s">
        <v>31</v>
      </c>
      <c r="C20" s="163">
        <f>21575+4442+1096</f>
        <v>27113</v>
      </c>
      <c r="D20" s="163">
        <f>20218+3900+340</f>
        <v>24458</v>
      </c>
    </row>
    <row r="21" spans="2:9" x14ac:dyDescent="0.25">
      <c r="B21" s="107" t="s">
        <v>29</v>
      </c>
      <c r="C21" s="163">
        <f>17863+1784+280</f>
        <v>19927</v>
      </c>
      <c r="D21" s="163">
        <f>14957+1458+180</f>
        <v>16595</v>
      </c>
    </row>
    <row r="22" spans="2:9" x14ac:dyDescent="0.25">
      <c r="B22" s="164" t="s">
        <v>14</v>
      </c>
      <c r="C22" s="163">
        <f>91809+12166+3391</f>
        <v>107366</v>
      </c>
      <c r="D22" s="163">
        <f>80425+14071+1846</f>
        <v>96342</v>
      </c>
    </row>
    <row r="23" spans="2:9" x14ac:dyDescent="0.25">
      <c r="B23" s="164" t="s">
        <v>34</v>
      </c>
      <c r="C23" s="163">
        <f>21565+3128+843</f>
        <v>25536</v>
      </c>
      <c r="D23" s="163">
        <f>18713+3147+317</f>
        <v>22177</v>
      </c>
    </row>
    <row r="24" spans="2:9" ht="16.5" thickBot="1" x14ac:dyDescent="0.3">
      <c r="C24" s="165">
        <f>SUM(C17:C23)</f>
        <v>477520</v>
      </c>
      <c r="D24" s="165">
        <f>SUM(D17:D23)</f>
        <v>477704</v>
      </c>
    </row>
    <row r="25" spans="2:9" ht="16.5" thickTop="1" x14ac:dyDescent="0.25"/>
    <row r="26" spans="2:9" hidden="1" x14ac:dyDescent="0.25"/>
    <row r="27" spans="2:9" hidden="1" x14ac:dyDescent="0.25">
      <c r="B27" s="74">
        <v>10</v>
      </c>
      <c r="C27" s="74">
        <v>1466</v>
      </c>
      <c r="D27" s="147">
        <f>+C27/C$36</f>
        <v>0.26884283880432791</v>
      </c>
      <c r="E27" s="122">
        <f>+$C$24*D27</f>
        <v>128377.83238584266</v>
      </c>
      <c r="F27" s="136"/>
      <c r="G27" s="136">
        <v>1322</v>
      </c>
      <c r="H27" s="147">
        <f>+G27/G$36</f>
        <v>0.23531505873976505</v>
      </c>
      <c r="I27" s="122">
        <f>+$D$24*H27</f>
        <v>112410.94482022073</v>
      </c>
    </row>
    <row r="28" spans="2:9" hidden="1" x14ac:dyDescent="0.25">
      <c r="B28" s="74">
        <v>15</v>
      </c>
      <c r="C28" s="74">
        <v>1008</v>
      </c>
      <c r="D28" s="147">
        <f t="shared" ref="D28:D36" si="0">+C28/C$36</f>
        <v>0.18485237483953787</v>
      </c>
      <c r="E28" s="122">
        <f t="shared" ref="E28:E36" si="1">+$C$24*D28</f>
        <v>88270.706033376118</v>
      </c>
      <c r="F28" s="136"/>
      <c r="G28" s="136">
        <v>770</v>
      </c>
      <c r="H28" s="147">
        <f t="shared" ref="H28:H36" si="2">+G28/G$36</f>
        <v>0.13705945176219295</v>
      </c>
      <c r="I28" s="122">
        <f t="shared" ref="I28:I36" si="3">+$D$24*H28</f>
        <v>65473.848344606617</v>
      </c>
    </row>
    <row r="29" spans="2:9" hidden="1" x14ac:dyDescent="0.25">
      <c r="B29" s="166" t="s">
        <v>41</v>
      </c>
      <c r="C29" s="74">
        <v>1643</v>
      </c>
      <c r="D29" s="147">
        <f t="shared" si="0"/>
        <v>0.30130203557674673</v>
      </c>
      <c r="E29" s="122">
        <f t="shared" si="1"/>
        <v>143877.7480286081</v>
      </c>
      <c r="F29" s="136"/>
      <c r="G29" s="136">
        <v>1881</v>
      </c>
      <c r="H29" s="147">
        <f t="shared" si="2"/>
        <v>0.33481666073335709</v>
      </c>
      <c r="I29" s="122">
        <f t="shared" si="3"/>
        <v>159943.25809896761</v>
      </c>
    </row>
    <row r="30" spans="2:9" hidden="1" x14ac:dyDescent="0.25">
      <c r="B30" s="167" t="s">
        <v>40</v>
      </c>
      <c r="D30" s="147">
        <f t="shared" si="0"/>
        <v>0</v>
      </c>
      <c r="E30" s="122">
        <f t="shared" si="1"/>
        <v>0</v>
      </c>
      <c r="F30" s="136"/>
      <c r="G30" s="136"/>
      <c r="H30" s="147">
        <f t="shared" si="2"/>
        <v>0</v>
      </c>
      <c r="I30" s="122">
        <f t="shared" si="3"/>
        <v>0</v>
      </c>
    </row>
    <row r="31" spans="2:9" hidden="1" x14ac:dyDescent="0.25">
      <c r="B31" s="167" t="s">
        <v>42</v>
      </c>
      <c r="C31" s="74">
        <v>716</v>
      </c>
      <c r="D31" s="147">
        <f t="shared" si="0"/>
        <v>0.13130386942967173</v>
      </c>
      <c r="E31" s="122">
        <f t="shared" si="1"/>
        <v>62700.223730056845</v>
      </c>
      <c r="F31" s="136"/>
      <c r="G31" s="136">
        <v>699</v>
      </c>
      <c r="H31" s="147">
        <f t="shared" si="2"/>
        <v>0.12442150231399074</v>
      </c>
      <c r="I31" s="122">
        <f t="shared" si="3"/>
        <v>59436.649341402634</v>
      </c>
    </row>
    <row r="32" spans="2:9" hidden="1" x14ac:dyDescent="0.25">
      <c r="B32" s="167" t="s">
        <v>43</v>
      </c>
      <c r="C32" s="74">
        <v>620</v>
      </c>
      <c r="D32" s="147">
        <f t="shared" si="0"/>
        <v>0.11369888134971576</v>
      </c>
      <c r="E32" s="122">
        <f t="shared" si="1"/>
        <v>54293.489822116266</v>
      </c>
      <c r="F32" s="136"/>
      <c r="G32" s="136">
        <v>946</v>
      </c>
      <c r="H32" s="147">
        <f t="shared" si="2"/>
        <v>0.16838732645069421</v>
      </c>
      <c r="I32" s="122">
        <f t="shared" si="3"/>
        <v>80439.299394802423</v>
      </c>
    </row>
    <row r="33" spans="2:9" hidden="1" x14ac:dyDescent="0.25">
      <c r="B33" s="167" t="s">
        <v>44</v>
      </c>
      <c r="D33" s="147"/>
      <c r="E33" s="122">
        <f t="shared" si="1"/>
        <v>0</v>
      </c>
      <c r="F33" s="136"/>
      <c r="G33" s="136"/>
      <c r="H33" s="147">
        <f t="shared" si="2"/>
        <v>0</v>
      </c>
      <c r="I33" s="122">
        <f t="shared" si="3"/>
        <v>0</v>
      </c>
    </row>
    <row r="34" spans="2:9" hidden="1" x14ac:dyDescent="0.25">
      <c r="B34" s="167" t="s">
        <v>45</v>
      </c>
      <c r="D34" s="147"/>
      <c r="E34" s="122">
        <f t="shared" si="1"/>
        <v>0</v>
      </c>
      <c r="F34" s="60"/>
      <c r="G34" s="136"/>
      <c r="H34" s="147">
        <f t="shared" si="2"/>
        <v>0</v>
      </c>
      <c r="I34" s="122">
        <f t="shared" si="3"/>
        <v>0</v>
      </c>
    </row>
    <row r="35" spans="2:9" hidden="1" x14ac:dyDescent="0.25">
      <c r="B35" s="167" t="s">
        <v>46</v>
      </c>
      <c r="D35" s="147"/>
      <c r="E35" s="122">
        <f t="shared" si="1"/>
        <v>0</v>
      </c>
      <c r="G35" s="136"/>
      <c r="H35" s="147">
        <f t="shared" si="2"/>
        <v>0</v>
      </c>
      <c r="I35" s="122">
        <f t="shared" si="3"/>
        <v>0</v>
      </c>
    </row>
    <row r="36" spans="2:9" hidden="1" x14ac:dyDescent="0.25">
      <c r="C36" s="74">
        <f>SUM(C27:C35)</f>
        <v>5453</v>
      </c>
      <c r="D36" s="147">
        <f t="shared" si="0"/>
        <v>1</v>
      </c>
      <c r="E36" s="122">
        <f t="shared" si="1"/>
        <v>477520</v>
      </c>
      <c r="G36" s="121">
        <f>SUM(G27:G35)</f>
        <v>5618</v>
      </c>
      <c r="H36" s="147">
        <f t="shared" si="2"/>
        <v>1</v>
      </c>
      <c r="I36" s="122">
        <f t="shared" si="3"/>
        <v>477704</v>
      </c>
    </row>
    <row r="37" spans="2:9" hidden="1" x14ac:dyDescent="0.25"/>
    <row r="38" spans="2:9" hidden="1" x14ac:dyDescent="0.25"/>
    <row r="39" spans="2:9" hidden="1" x14ac:dyDescent="0.25"/>
    <row r="40" spans="2:9" ht="16.5" thickBot="1" x14ac:dyDescent="0.3">
      <c r="B40" s="74" t="s">
        <v>26</v>
      </c>
      <c r="C40" s="168" t="s">
        <v>51</v>
      </c>
      <c r="D40" s="122"/>
    </row>
    <row r="41" spans="2:9" ht="16.5" thickBot="1" x14ac:dyDescent="0.3">
      <c r="C41" s="159" t="s">
        <v>79</v>
      </c>
      <c r="D41" s="94" t="s">
        <v>80</v>
      </c>
    </row>
    <row r="42" spans="2:9" x14ac:dyDescent="0.25">
      <c r="B42" s="74" t="s">
        <v>49</v>
      </c>
      <c r="C42" s="163">
        <f>538140+14514</f>
        <v>552654</v>
      </c>
      <c r="D42" s="163">
        <f>553505+12957</f>
        <v>566462</v>
      </c>
    </row>
    <row r="43" spans="2:9" x14ac:dyDescent="0.25">
      <c r="B43" s="74" t="s">
        <v>155</v>
      </c>
      <c r="C43" s="163">
        <f>368638-10004</f>
        <v>358634</v>
      </c>
      <c r="D43" s="163">
        <f>393370+9893</f>
        <v>403263</v>
      </c>
    </row>
    <row r="44" spans="2:9" ht="16.5" thickBot="1" x14ac:dyDescent="0.3">
      <c r="B44" s="74" t="s">
        <v>48</v>
      </c>
      <c r="C44" s="169">
        <v>115070</v>
      </c>
      <c r="D44" s="170">
        <v>149962</v>
      </c>
    </row>
    <row r="45" spans="2:9" ht="16.5" thickTop="1" x14ac:dyDescent="0.25">
      <c r="B45" s="167" t="s">
        <v>50</v>
      </c>
      <c r="C45" s="171">
        <f>SUM(C42:C43)</f>
        <v>911288</v>
      </c>
      <c r="D45" s="162">
        <f>SUM(D42:D43)</f>
        <v>969725</v>
      </c>
    </row>
    <row r="46" spans="2:9" ht="16.5" thickBot="1" x14ac:dyDescent="0.3"/>
    <row r="47" spans="2:9" ht="16.5" thickBot="1" x14ac:dyDescent="0.3">
      <c r="B47" s="74" t="s">
        <v>78</v>
      </c>
      <c r="C47" s="172">
        <v>33435</v>
      </c>
      <c r="D47" s="173">
        <v>24983</v>
      </c>
    </row>
    <row r="49" spans="3:4" x14ac:dyDescent="0.25">
      <c r="C49" s="60"/>
      <c r="D49" s="60"/>
    </row>
  </sheetData>
  <mergeCells count="2">
    <mergeCell ref="B3:D3"/>
    <mergeCell ref="B15:D15"/>
  </mergeCells>
  <pageMargins left="0.25" right="0.25" top="0.75" bottom="0.75" header="0.3" footer="0.3"/>
  <pageSetup orientation="portrait" r:id="rId1"/>
  <headerFooter>
    <oddHeader xml:space="preserve">&amp;CAttachment D&amp;RPage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view="pageLayout" topLeftCell="A4" zoomScaleNormal="100" workbookViewId="0">
      <selection activeCell="H19" sqref="H19"/>
    </sheetView>
  </sheetViews>
  <sheetFormatPr defaultRowHeight="15" x14ac:dyDescent="0.25"/>
  <cols>
    <col min="6" max="6" width="11.7109375" customWidth="1"/>
    <col min="7" max="7" width="10" bestFit="1" customWidth="1"/>
    <col min="8" max="8" width="11.5703125" customWidth="1"/>
    <col min="9" max="9" width="10" bestFit="1" customWidth="1"/>
  </cols>
  <sheetData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3" ht="15.75" x14ac:dyDescent="0.25">
      <c r="A3" s="30" t="s">
        <v>96</v>
      </c>
      <c r="B3" s="31"/>
      <c r="C3" s="31"/>
      <c r="D3" s="31"/>
      <c r="E3" s="31"/>
      <c r="F3" s="31"/>
      <c r="G3" s="31"/>
      <c r="H3" s="31"/>
      <c r="I3" s="32"/>
      <c r="J3" s="8"/>
      <c r="K3" s="8"/>
      <c r="L3" s="8"/>
      <c r="M3" s="8"/>
    </row>
    <row r="4" spans="1:13" ht="15.75" x14ac:dyDescent="0.25">
      <c r="A4" s="33"/>
      <c r="B4" s="34"/>
      <c r="C4" s="34"/>
      <c r="D4" s="34"/>
      <c r="E4" s="34"/>
      <c r="F4" s="34"/>
      <c r="G4" s="34"/>
      <c r="H4" s="34"/>
      <c r="I4" s="35"/>
      <c r="J4" s="5"/>
      <c r="K4" s="5"/>
      <c r="L4" s="5"/>
      <c r="M4" s="4"/>
    </row>
    <row r="5" spans="1:13" ht="31.5" x14ac:dyDescent="0.25">
      <c r="A5" s="33"/>
      <c r="B5" s="34" t="s">
        <v>81</v>
      </c>
      <c r="C5" s="34" t="s">
        <v>97</v>
      </c>
      <c r="D5" s="34" t="s">
        <v>98</v>
      </c>
      <c r="E5" s="34" t="s">
        <v>99</v>
      </c>
      <c r="F5" s="36" t="s">
        <v>110</v>
      </c>
      <c r="G5" s="37" t="s">
        <v>129</v>
      </c>
      <c r="H5" s="36" t="s">
        <v>136</v>
      </c>
      <c r="I5" s="38" t="s">
        <v>129</v>
      </c>
      <c r="J5" s="6"/>
      <c r="K5" s="6"/>
      <c r="L5" s="6"/>
      <c r="M5" s="4"/>
    </row>
    <row r="6" spans="1:13" ht="15.75" x14ac:dyDescent="0.25">
      <c r="A6" s="33"/>
      <c r="B6" s="37" t="s">
        <v>101</v>
      </c>
      <c r="C6" s="37">
        <v>5</v>
      </c>
      <c r="D6" s="34">
        <v>80</v>
      </c>
      <c r="E6" s="39">
        <v>50</v>
      </c>
      <c r="F6" s="176">
        <v>620</v>
      </c>
      <c r="G6" s="40">
        <v>7</v>
      </c>
      <c r="H6" s="174">
        <v>608</v>
      </c>
      <c r="I6" s="41">
        <v>6</v>
      </c>
      <c r="J6" s="5"/>
      <c r="K6" s="7"/>
      <c r="L6" s="5"/>
      <c r="M6" s="4"/>
    </row>
    <row r="7" spans="1:13" ht="15.75" x14ac:dyDescent="0.25">
      <c r="A7" s="33" t="s">
        <v>135</v>
      </c>
      <c r="B7" s="37" t="s">
        <v>102</v>
      </c>
      <c r="C7" s="37">
        <v>5</v>
      </c>
      <c r="D7" s="34">
        <v>60</v>
      </c>
      <c r="E7" s="39">
        <v>90</v>
      </c>
      <c r="F7" s="176">
        <v>578</v>
      </c>
      <c r="G7" s="40">
        <v>56</v>
      </c>
      <c r="H7" s="174">
        <v>567</v>
      </c>
      <c r="I7" s="41">
        <v>22</v>
      </c>
      <c r="J7" s="5"/>
      <c r="K7" s="7"/>
      <c r="L7" s="5"/>
      <c r="M7" s="4"/>
    </row>
    <row r="8" spans="1:13" ht="15.75" x14ac:dyDescent="0.25">
      <c r="A8" s="33" t="s">
        <v>135</v>
      </c>
      <c r="B8" s="37" t="s">
        <v>103</v>
      </c>
      <c r="C8" s="37">
        <v>5</v>
      </c>
      <c r="D8" s="34">
        <v>60</v>
      </c>
      <c r="E8" s="39">
        <v>55</v>
      </c>
      <c r="F8" s="176">
        <v>527</v>
      </c>
      <c r="G8" s="40">
        <v>28</v>
      </c>
      <c r="H8" s="174">
        <v>517</v>
      </c>
      <c r="I8" s="41">
        <v>11</v>
      </c>
      <c r="J8" s="5"/>
      <c r="K8" s="7"/>
      <c r="L8" s="5"/>
      <c r="M8" s="4"/>
    </row>
    <row r="9" spans="1:13" ht="15.75" x14ac:dyDescent="0.25">
      <c r="A9" s="33" t="s">
        <v>135</v>
      </c>
      <c r="B9" s="37" t="s">
        <v>104</v>
      </c>
      <c r="C9" s="37">
        <v>5</v>
      </c>
      <c r="D9" s="34">
        <v>90</v>
      </c>
      <c r="E9" s="39">
        <v>55</v>
      </c>
      <c r="F9" s="176">
        <v>697</v>
      </c>
      <c r="G9" s="40">
        <v>11</v>
      </c>
      <c r="H9" s="174">
        <v>683</v>
      </c>
      <c r="I9" s="41">
        <v>16</v>
      </c>
      <c r="J9" s="5"/>
      <c r="K9" s="7"/>
      <c r="L9" s="5"/>
      <c r="M9" s="4"/>
    </row>
    <row r="10" spans="1:13" ht="15.75" x14ac:dyDescent="0.25">
      <c r="A10" s="33" t="s">
        <v>135</v>
      </c>
      <c r="B10" s="37" t="s">
        <v>105</v>
      </c>
      <c r="C10" s="37">
        <v>10</v>
      </c>
      <c r="D10" s="34">
        <v>165</v>
      </c>
      <c r="E10" s="39">
        <v>100</v>
      </c>
      <c r="F10" s="176">
        <v>1343</v>
      </c>
      <c r="G10" s="40">
        <v>14</v>
      </c>
      <c r="H10" s="174">
        <v>1317</v>
      </c>
      <c r="I10" s="41">
        <v>5</v>
      </c>
      <c r="J10" s="5"/>
      <c r="K10" s="7"/>
      <c r="L10" s="5"/>
      <c r="M10" s="4"/>
    </row>
    <row r="11" spans="1:13" ht="15.75" x14ac:dyDescent="0.25">
      <c r="A11" s="33" t="s">
        <v>135</v>
      </c>
      <c r="B11" s="37" t="s">
        <v>106</v>
      </c>
      <c r="C11" s="37">
        <v>10</v>
      </c>
      <c r="D11" s="34">
        <v>125</v>
      </c>
      <c r="E11" s="39">
        <v>180</v>
      </c>
      <c r="F11" s="176">
        <v>1187</v>
      </c>
      <c r="G11" s="40">
        <v>13</v>
      </c>
      <c r="H11" s="174">
        <v>1164</v>
      </c>
      <c r="I11" s="41">
        <v>12</v>
      </c>
      <c r="J11" s="5"/>
      <c r="K11" s="7"/>
      <c r="L11" s="5"/>
      <c r="M11" s="4"/>
    </row>
    <row r="12" spans="1:13" ht="15.75" x14ac:dyDescent="0.25">
      <c r="A12" s="33" t="s">
        <v>135</v>
      </c>
      <c r="B12" s="37" t="s">
        <v>107</v>
      </c>
      <c r="C12" s="37">
        <v>10</v>
      </c>
      <c r="D12" s="34">
        <v>120</v>
      </c>
      <c r="E12" s="39">
        <v>120</v>
      </c>
      <c r="F12" s="176">
        <v>1089</v>
      </c>
      <c r="G12" s="40">
        <v>29</v>
      </c>
      <c r="H12" s="174">
        <v>1068</v>
      </c>
      <c r="I12" s="41">
        <v>36</v>
      </c>
      <c r="J12" s="5"/>
      <c r="K12" s="7"/>
      <c r="L12" s="5"/>
      <c r="M12" s="4"/>
    </row>
    <row r="13" spans="1:13" ht="15.75" x14ac:dyDescent="0.25">
      <c r="A13" s="42" t="s">
        <v>135</v>
      </c>
      <c r="B13" s="43" t="s">
        <v>108</v>
      </c>
      <c r="C13" s="43">
        <v>10</v>
      </c>
      <c r="D13" s="44">
        <v>185</v>
      </c>
      <c r="E13" s="45">
        <v>75</v>
      </c>
      <c r="F13" s="177">
        <v>1423</v>
      </c>
      <c r="G13" s="46">
        <v>4</v>
      </c>
      <c r="H13" s="175">
        <v>1395</v>
      </c>
      <c r="I13" s="47">
        <v>8</v>
      </c>
      <c r="J13" s="5"/>
      <c r="K13" s="7"/>
      <c r="L13" s="5"/>
      <c r="M13" s="4"/>
    </row>
    <row r="14" spans="1:13" ht="16.5" thickBot="1" x14ac:dyDescent="0.3">
      <c r="A14" s="48" t="s">
        <v>50</v>
      </c>
      <c r="B14" s="49"/>
      <c r="C14" s="49"/>
      <c r="D14" s="50"/>
      <c r="E14" s="51"/>
      <c r="F14" s="52"/>
      <c r="G14" s="53">
        <f>SUM(G6:G13)</f>
        <v>162</v>
      </c>
      <c r="H14" s="54"/>
      <c r="I14" s="55">
        <f>SUM(I6:I13)</f>
        <v>116</v>
      </c>
      <c r="J14" s="5"/>
      <c r="K14" s="7"/>
      <c r="L14" s="5"/>
      <c r="M14" s="4"/>
    </row>
    <row r="15" spans="1:13" ht="16.5" thickTop="1" x14ac:dyDescent="0.25">
      <c r="A15" s="56" t="s">
        <v>134</v>
      </c>
      <c r="B15" s="57" t="s">
        <v>103</v>
      </c>
      <c r="C15" s="57">
        <v>5</v>
      </c>
      <c r="D15" s="58">
        <v>60</v>
      </c>
      <c r="E15" s="59">
        <v>60</v>
      </c>
      <c r="F15" s="174">
        <v>263.5</v>
      </c>
      <c r="G15" s="61">
        <v>3</v>
      </c>
      <c r="H15" s="174">
        <v>258.5</v>
      </c>
      <c r="I15" s="62">
        <v>2</v>
      </c>
    </row>
    <row r="16" spans="1:13" ht="15.75" x14ac:dyDescent="0.25">
      <c r="A16" s="56" t="s">
        <v>134</v>
      </c>
      <c r="B16" s="57" t="s">
        <v>105</v>
      </c>
      <c r="C16" s="57">
        <v>5</v>
      </c>
      <c r="D16" s="58">
        <v>165</v>
      </c>
      <c r="E16" s="59">
        <v>100</v>
      </c>
      <c r="F16" s="174">
        <v>671.5</v>
      </c>
      <c r="G16" s="61">
        <v>0</v>
      </c>
      <c r="H16" s="174">
        <v>658.5</v>
      </c>
      <c r="I16" s="62" t="s">
        <v>154</v>
      </c>
    </row>
    <row r="17" spans="1:9" ht="15.75" x14ac:dyDescent="0.25">
      <c r="A17" s="56" t="s">
        <v>134</v>
      </c>
      <c r="B17" s="57" t="s">
        <v>106</v>
      </c>
      <c r="C17" s="57">
        <v>10</v>
      </c>
      <c r="D17" s="58">
        <v>125</v>
      </c>
      <c r="E17" s="59">
        <v>120</v>
      </c>
      <c r="F17" s="174">
        <v>593.5</v>
      </c>
      <c r="G17" s="63" t="s">
        <v>152</v>
      </c>
      <c r="H17" s="174">
        <v>582</v>
      </c>
      <c r="I17" s="62" t="s">
        <v>153</v>
      </c>
    </row>
    <row r="18" spans="1:9" ht="15.75" x14ac:dyDescent="0.25">
      <c r="A18" s="64" t="s">
        <v>134</v>
      </c>
      <c r="B18" s="65" t="s">
        <v>107</v>
      </c>
      <c r="C18" s="65">
        <v>10</v>
      </c>
      <c r="D18" s="66">
        <v>185</v>
      </c>
      <c r="E18" s="67">
        <v>75</v>
      </c>
      <c r="F18" s="175">
        <v>544.5</v>
      </c>
      <c r="G18" s="68">
        <v>18</v>
      </c>
      <c r="H18" s="175">
        <v>534</v>
      </c>
      <c r="I18" s="69">
        <v>0</v>
      </c>
    </row>
    <row r="19" spans="1:9" ht="16.5" thickBot="1" x14ac:dyDescent="0.3">
      <c r="A19" s="70" t="s">
        <v>50</v>
      </c>
      <c r="B19" s="71"/>
      <c r="C19" s="71"/>
      <c r="D19" s="71"/>
      <c r="E19" s="71"/>
      <c r="F19" s="71"/>
      <c r="G19" s="72">
        <v>58</v>
      </c>
      <c r="H19" s="71"/>
      <c r="I19" s="73">
        <v>58</v>
      </c>
    </row>
    <row r="20" spans="1:9" ht="15.75" x14ac:dyDescent="0.25">
      <c r="A20" s="74"/>
      <c r="B20" s="74"/>
      <c r="C20" s="74"/>
      <c r="D20" s="74"/>
      <c r="E20" s="74"/>
      <c r="F20" s="74"/>
      <c r="G20" s="74"/>
      <c r="H20" s="74"/>
      <c r="I20" s="75"/>
    </row>
    <row r="21" spans="1:9" ht="15.75" x14ac:dyDescent="0.25">
      <c r="A21" s="74"/>
      <c r="B21" s="74"/>
      <c r="C21" s="74"/>
      <c r="D21" s="74"/>
      <c r="E21" s="74"/>
      <c r="F21" s="74"/>
      <c r="G21" s="74"/>
      <c r="H21" s="74"/>
      <c r="I21" s="74"/>
    </row>
    <row r="22" spans="1:9" ht="15.75" x14ac:dyDescent="0.25">
      <c r="A22" s="74"/>
      <c r="B22" s="74"/>
      <c r="C22" s="74"/>
      <c r="D22" s="74"/>
      <c r="E22" s="74"/>
      <c r="F22" s="74"/>
      <c r="G22" s="74"/>
      <c r="H22" s="76"/>
      <c r="I22" s="74"/>
    </row>
    <row r="23" spans="1:9" ht="15.75" x14ac:dyDescent="0.25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6.5" thickBot="1" x14ac:dyDescent="0.3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15.75" x14ac:dyDescent="0.25">
      <c r="A25" s="74"/>
      <c r="B25" s="74"/>
      <c r="C25" s="74"/>
      <c r="D25" s="77"/>
      <c r="E25" s="78"/>
      <c r="F25" s="198" t="s">
        <v>140</v>
      </c>
      <c r="G25" s="199"/>
      <c r="H25" s="199"/>
      <c r="I25" s="79"/>
    </row>
    <row r="26" spans="1:9" ht="31.5" x14ac:dyDescent="0.25">
      <c r="A26" s="74"/>
      <c r="B26" s="74"/>
      <c r="C26" s="74"/>
      <c r="D26" s="56"/>
      <c r="E26" s="60"/>
      <c r="F26" s="60"/>
      <c r="G26" s="80" t="s">
        <v>110</v>
      </c>
      <c r="H26" s="80" t="s">
        <v>136</v>
      </c>
      <c r="I26" s="81"/>
    </row>
    <row r="27" spans="1:9" ht="15.75" x14ac:dyDescent="0.25">
      <c r="A27" s="74"/>
      <c r="B27" s="74"/>
      <c r="C27" s="74"/>
      <c r="D27" s="56"/>
      <c r="E27" s="60"/>
      <c r="F27" s="37" t="s">
        <v>111</v>
      </c>
      <c r="G27" s="37" t="s">
        <v>139</v>
      </c>
      <c r="H27" s="82" t="s">
        <v>139</v>
      </c>
      <c r="I27" s="81"/>
    </row>
    <row r="28" spans="1:9" ht="15.75" x14ac:dyDescent="0.25">
      <c r="A28" s="74"/>
      <c r="B28" s="74"/>
      <c r="C28" s="74"/>
      <c r="D28" s="56"/>
      <c r="E28" s="60"/>
      <c r="F28" s="83" t="s">
        <v>112</v>
      </c>
      <c r="G28" s="84">
        <v>25.34</v>
      </c>
      <c r="H28" s="85">
        <v>24.3</v>
      </c>
      <c r="I28" s="81"/>
    </row>
    <row r="29" spans="1:9" ht="15.75" x14ac:dyDescent="0.25">
      <c r="A29" s="74"/>
      <c r="B29" s="74"/>
      <c r="C29" s="74"/>
      <c r="D29" s="56"/>
      <c r="E29" s="60"/>
      <c r="F29" s="83" t="s">
        <v>113</v>
      </c>
      <c r="G29" s="84">
        <v>24.2</v>
      </c>
      <c r="H29" s="85">
        <v>23.21</v>
      </c>
      <c r="I29" s="81"/>
    </row>
    <row r="30" spans="1:9" ht="15.75" x14ac:dyDescent="0.25">
      <c r="A30" s="74"/>
      <c r="B30" s="74"/>
      <c r="C30" s="74"/>
      <c r="D30" s="56"/>
      <c r="E30" s="60"/>
      <c r="F30" s="83" t="s">
        <v>114</v>
      </c>
      <c r="G30" s="84">
        <v>23.63</v>
      </c>
      <c r="H30" s="85">
        <v>22.66</v>
      </c>
      <c r="I30" s="81"/>
    </row>
    <row r="31" spans="1:9" ht="15.75" x14ac:dyDescent="0.25">
      <c r="A31" s="74"/>
      <c r="B31" s="74"/>
      <c r="C31" s="74"/>
      <c r="D31" s="56"/>
      <c r="E31" s="60"/>
      <c r="F31" s="60"/>
      <c r="G31" s="60"/>
      <c r="H31" s="60"/>
      <c r="I31" s="81"/>
    </row>
    <row r="32" spans="1:9" ht="15.75" x14ac:dyDescent="0.25">
      <c r="A32" s="74"/>
      <c r="B32" s="74"/>
      <c r="C32" s="86"/>
      <c r="D32" s="200" t="s">
        <v>141</v>
      </c>
      <c r="E32" s="201"/>
      <c r="F32" s="201"/>
      <c r="G32" s="201"/>
      <c r="H32" s="201"/>
      <c r="I32" s="202"/>
    </row>
    <row r="33" spans="1:9" ht="16.5" thickBot="1" x14ac:dyDescent="0.3">
      <c r="A33" s="74"/>
      <c r="B33" s="74"/>
      <c r="C33" s="74"/>
      <c r="D33" s="205" t="s">
        <v>156</v>
      </c>
      <c r="E33" s="206"/>
      <c r="F33" s="206"/>
      <c r="G33" s="206"/>
      <c r="H33" s="206"/>
      <c r="I33" s="207"/>
    </row>
    <row r="34" spans="1:9" ht="15.75" x14ac:dyDescent="0.25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15.75" x14ac:dyDescent="0.25">
      <c r="A35" s="74"/>
      <c r="B35" s="74"/>
      <c r="C35" s="74"/>
      <c r="D35" s="74"/>
      <c r="E35" s="74"/>
      <c r="F35" s="74"/>
      <c r="G35" s="74"/>
      <c r="H35" s="74"/>
      <c r="I35" s="74"/>
    </row>
    <row r="36" spans="1:9" ht="15.75" x14ac:dyDescent="0.25">
      <c r="A36" s="74"/>
      <c r="B36" s="74"/>
      <c r="C36" s="74"/>
      <c r="D36" s="74"/>
      <c r="E36" s="74"/>
      <c r="F36" s="74"/>
      <c r="G36" s="74"/>
      <c r="H36" s="74"/>
      <c r="I36" s="74"/>
    </row>
    <row r="37" spans="1:9" ht="16.5" thickBot="1" x14ac:dyDescent="0.3">
      <c r="A37" s="74"/>
      <c r="B37" s="74"/>
      <c r="C37" s="74"/>
      <c r="D37" s="74"/>
      <c r="E37" s="74"/>
      <c r="F37" s="74"/>
      <c r="G37" s="74"/>
      <c r="H37" s="74"/>
      <c r="I37" s="74"/>
    </row>
    <row r="38" spans="1:9" ht="15.75" x14ac:dyDescent="0.25">
      <c r="A38" s="74"/>
      <c r="B38" s="74"/>
      <c r="C38" s="74"/>
      <c r="D38" s="203" t="s">
        <v>142</v>
      </c>
      <c r="E38" s="199"/>
      <c r="F38" s="199"/>
      <c r="G38" s="199"/>
      <c r="H38" s="199"/>
      <c r="I38" s="204"/>
    </row>
    <row r="39" spans="1:9" ht="16.5" thickBot="1" x14ac:dyDescent="0.3">
      <c r="A39" s="74"/>
      <c r="B39" s="74"/>
      <c r="C39" s="74"/>
      <c r="D39" s="205" t="s">
        <v>151</v>
      </c>
      <c r="E39" s="206"/>
      <c r="F39" s="206"/>
      <c r="G39" s="206"/>
      <c r="H39" s="206"/>
      <c r="I39" s="207"/>
    </row>
    <row r="40" spans="1:9" ht="15.75" x14ac:dyDescent="0.25">
      <c r="A40" s="74"/>
      <c r="B40" s="74"/>
      <c r="C40" s="74"/>
      <c r="D40" s="74"/>
      <c r="E40" s="74"/>
      <c r="F40" s="74"/>
      <c r="G40" s="74"/>
      <c r="H40" s="74"/>
      <c r="I40" s="74"/>
    </row>
    <row r="41" spans="1:9" ht="15.75" x14ac:dyDescent="0.25">
      <c r="A41" s="74"/>
      <c r="B41" s="74"/>
      <c r="C41" s="74"/>
      <c r="D41" s="74"/>
      <c r="E41" s="74"/>
      <c r="F41" s="74"/>
      <c r="G41" s="74"/>
      <c r="H41" s="74"/>
      <c r="I41" s="74"/>
    </row>
  </sheetData>
  <mergeCells count="5">
    <mergeCell ref="F25:H25"/>
    <mergeCell ref="D32:I32"/>
    <mergeCell ref="D38:I38"/>
    <mergeCell ref="D33:I33"/>
    <mergeCell ref="D39:I39"/>
  </mergeCells>
  <pageMargins left="0.25" right="0.25" top="0.75" bottom="0.75" header="0.3" footer="0.3"/>
  <pageSetup orientation="portrait" r:id="rId1"/>
  <headerFooter>
    <oddHeader xml:space="preserve">&amp;C&amp;"Times New Roman,Regular"&amp;12Attachment D&amp;R&amp;"Times New Roman,Regular"&amp;12Page 4 
</oddHeader>
  </headerFooter>
  <ignoredErrors>
    <ignoredError sqref="G17 I16:I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view="pageLayout" topLeftCell="A17" zoomScaleNormal="100" workbookViewId="0">
      <selection activeCell="G46" sqref="G46"/>
    </sheetView>
  </sheetViews>
  <sheetFormatPr defaultRowHeight="15" x14ac:dyDescent="0.25"/>
  <cols>
    <col min="3" max="3" width="10.140625" bestFit="1" customWidth="1"/>
    <col min="6" max="6" width="14.28515625" bestFit="1" customWidth="1"/>
  </cols>
  <sheetData>
    <row r="1" spans="2:12" hidden="1" x14ac:dyDescent="0.25">
      <c r="B1" s="9" t="s">
        <v>115</v>
      </c>
      <c r="C1" s="9"/>
      <c r="D1" s="10" t="s">
        <v>116</v>
      </c>
      <c r="E1" s="10" t="s">
        <v>109</v>
      </c>
      <c r="F1" s="11" t="s">
        <v>117</v>
      </c>
      <c r="G1" s="3"/>
      <c r="H1" s="11" t="s">
        <v>100</v>
      </c>
      <c r="I1" s="3"/>
      <c r="J1" s="3"/>
      <c r="K1" s="3"/>
      <c r="L1" s="3"/>
    </row>
    <row r="2" spans="2:12" hidden="1" x14ac:dyDescent="0.25">
      <c r="B2" t="s">
        <v>118</v>
      </c>
      <c r="C2">
        <v>100</v>
      </c>
      <c r="D2" s="12">
        <v>680.18500000000006</v>
      </c>
      <c r="E2" s="12">
        <f>D2*0.1125</f>
        <v>76.520812500000005</v>
      </c>
      <c r="F2" s="12" t="e">
        <v>#REF!</v>
      </c>
      <c r="H2" s="13">
        <v>3.7499999999999999E-2</v>
      </c>
    </row>
    <row r="3" spans="2:12" hidden="1" x14ac:dyDescent="0.25">
      <c r="B3" t="s">
        <v>119</v>
      </c>
      <c r="C3">
        <v>50</v>
      </c>
      <c r="D3" s="12">
        <v>374.59975000000003</v>
      </c>
      <c r="E3" s="12">
        <f t="shared" ref="E3:E4" si="0">D3*0.1125</f>
        <v>42.142471875000005</v>
      </c>
      <c r="F3" s="12" t="e">
        <v>#REF!</v>
      </c>
    </row>
    <row r="4" spans="2:12" hidden="1" x14ac:dyDescent="0.25">
      <c r="B4" t="s">
        <v>120</v>
      </c>
      <c r="C4">
        <v>25</v>
      </c>
      <c r="D4" s="12">
        <v>196.08750000000001</v>
      </c>
      <c r="E4" s="12">
        <f t="shared" si="0"/>
        <v>22.059843750000002</v>
      </c>
      <c r="F4" s="12" t="e">
        <v>#REF!</v>
      </c>
    </row>
    <row r="6" spans="2:12" ht="15.75" x14ac:dyDescent="0.25">
      <c r="B6" s="197" t="s">
        <v>75</v>
      </c>
      <c r="C6" s="197"/>
      <c r="D6" s="197"/>
      <c r="E6" s="197"/>
      <c r="F6" s="74"/>
      <c r="G6" s="74"/>
      <c r="H6" s="74"/>
      <c r="I6" s="74"/>
    </row>
    <row r="7" spans="2:12" ht="15.75" x14ac:dyDescent="0.25">
      <c r="B7" s="137" t="s">
        <v>121</v>
      </c>
      <c r="C7" s="138" t="s">
        <v>128</v>
      </c>
      <c r="D7" s="137" t="s">
        <v>116</v>
      </c>
      <c r="E7" s="139" t="s">
        <v>129</v>
      </c>
      <c r="F7" s="74"/>
      <c r="G7" s="74"/>
      <c r="H7" s="74"/>
      <c r="I7" s="74"/>
    </row>
    <row r="8" spans="2:12" ht="15.75" x14ac:dyDescent="0.25">
      <c r="B8" s="107" t="s">
        <v>118</v>
      </c>
      <c r="C8" s="107">
        <v>100</v>
      </c>
      <c r="D8" s="140">
        <v>705.69</v>
      </c>
      <c r="E8" s="141">
        <v>7</v>
      </c>
      <c r="F8" s="74"/>
      <c r="G8" s="74"/>
      <c r="H8" s="74"/>
      <c r="I8" s="74"/>
    </row>
    <row r="9" spans="2:12" ht="15.75" x14ac:dyDescent="0.25">
      <c r="B9" s="107" t="s">
        <v>119</v>
      </c>
      <c r="C9" s="107">
        <v>50</v>
      </c>
      <c r="D9" s="140">
        <v>388.65</v>
      </c>
      <c r="E9" s="141">
        <v>5</v>
      </c>
      <c r="F9" s="74"/>
      <c r="G9" s="74"/>
      <c r="H9" s="74"/>
      <c r="I9" s="74"/>
    </row>
    <row r="10" spans="2:12" ht="15.75" x14ac:dyDescent="0.25">
      <c r="B10" s="107" t="s">
        <v>120</v>
      </c>
      <c r="C10" s="107">
        <v>25</v>
      </c>
      <c r="D10" s="140">
        <v>203.44</v>
      </c>
      <c r="E10" s="141">
        <v>17</v>
      </c>
      <c r="F10" s="74"/>
      <c r="G10" s="74"/>
      <c r="H10" s="74"/>
      <c r="I10" s="74"/>
    </row>
    <row r="11" spans="2:12" ht="15.75" x14ac:dyDescent="0.25">
      <c r="B11" s="74"/>
      <c r="C11" s="74"/>
      <c r="D11" s="74"/>
      <c r="E11" s="142"/>
      <c r="F11" s="74"/>
      <c r="G11" s="74"/>
      <c r="H11" s="74"/>
      <c r="I11" s="74"/>
    </row>
    <row r="12" spans="2:12" ht="15.75" x14ac:dyDescent="0.25">
      <c r="B12" s="137" t="s">
        <v>138</v>
      </c>
      <c r="C12" s="138" t="s">
        <v>128</v>
      </c>
      <c r="D12" s="137" t="s">
        <v>116</v>
      </c>
      <c r="E12" s="137" t="s">
        <v>129</v>
      </c>
      <c r="F12" s="143"/>
      <c r="G12" s="144"/>
      <c r="H12" s="74"/>
      <c r="I12" s="144"/>
      <c r="L12" s="15"/>
    </row>
    <row r="13" spans="2:12" ht="15.75" x14ac:dyDescent="0.25">
      <c r="B13" s="107" t="s">
        <v>118</v>
      </c>
      <c r="C13" s="107">
        <v>100</v>
      </c>
      <c r="D13" s="140">
        <v>680.19</v>
      </c>
      <c r="E13" s="145">
        <v>3</v>
      </c>
      <c r="F13" s="146"/>
      <c r="G13" s="146"/>
      <c r="H13" s="147"/>
      <c r="I13" s="146"/>
      <c r="J13" s="13"/>
      <c r="L13" s="16"/>
    </row>
    <row r="14" spans="2:12" ht="15.75" x14ac:dyDescent="0.25">
      <c r="B14" s="107" t="s">
        <v>119</v>
      </c>
      <c r="C14" s="107">
        <v>50</v>
      </c>
      <c r="D14" s="140">
        <v>374.6</v>
      </c>
      <c r="E14" s="145">
        <v>3</v>
      </c>
      <c r="F14" s="146"/>
      <c r="G14" s="146"/>
      <c r="H14" s="147"/>
      <c r="I14" s="146"/>
      <c r="J14" s="13"/>
      <c r="L14" s="16"/>
    </row>
    <row r="15" spans="2:12" ht="15.75" x14ac:dyDescent="0.25">
      <c r="B15" s="107" t="s">
        <v>120</v>
      </c>
      <c r="C15" s="107">
        <v>25</v>
      </c>
      <c r="D15" s="140">
        <v>196.09</v>
      </c>
      <c r="E15" s="145">
        <v>17</v>
      </c>
      <c r="F15" s="146"/>
      <c r="G15" s="146"/>
      <c r="H15" s="147"/>
      <c r="I15" s="146"/>
      <c r="J15" s="13"/>
      <c r="L15" s="16"/>
    </row>
    <row r="16" spans="2:12" ht="15.75" x14ac:dyDescent="0.25">
      <c r="B16" s="74"/>
      <c r="C16" s="74"/>
      <c r="D16" s="146"/>
      <c r="E16" s="146"/>
      <c r="F16" s="146"/>
      <c r="G16" s="146"/>
      <c r="H16" s="147"/>
      <c r="I16" s="146"/>
      <c r="J16" s="13"/>
      <c r="L16" s="16"/>
    </row>
    <row r="17" spans="2:16" ht="15.75" x14ac:dyDescent="0.25">
      <c r="B17" s="74"/>
      <c r="C17" s="74"/>
      <c r="D17" s="146"/>
      <c r="E17" s="146"/>
      <c r="F17" s="146"/>
      <c r="G17" s="146"/>
      <c r="H17" s="147"/>
      <c r="I17" s="146"/>
      <c r="J17" s="13"/>
      <c r="L17" s="16"/>
    </row>
    <row r="18" spans="2:16" ht="15.75" x14ac:dyDescent="0.25">
      <c r="B18" s="74"/>
      <c r="C18" s="74"/>
      <c r="D18" s="146"/>
      <c r="E18" s="146"/>
      <c r="F18" s="146"/>
      <c r="G18" s="146"/>
      <c r="H18" s="147"/>
      <c r="I18" s="146"/>
      <c r="J18" s="13"/>
      <c r="L18" s="16"/>
    </row>
    <row r="19" spans="2:16" ht="16.5" thickBot="1" x14ac:dyDescent="0.3">
      <c r="B19" s="74"/>
      <c r="C19" s="74"/>
      <c r="D19" s="74"/>
      <c r="E19" s="74"/>
      <c r="F19" s="74"/>
      <c r="G19" s="74"/>
      <c r="H19" s="74"/>
      <c r="I19" s="74"/>
    </row>
    <row r="20" spans="2:16" ht="15.75" x14ac:dyDescent="0.25">
      <c r="B20" s="74"/>
      <c r="C20" s="208" t="s">
        <v>130</v>
      </c>
      <c r="D20" s="209"/>
      <c r="E20" s="210"/>
      <c r="F20" s="74"/>
      <c r="G20" s="74"/>
      <c r="H20" s="74"/>
      <c r="I20" s="74"/>
    </row>
    <row r="21" spans="2:16" ht="15.75" x14ac:dyDescent="0.25">
      <c r="B21" s="74"/>
      <c r="C21" s="56"/>
      <c r="D21" s="148">
        <v>2017</v>
      </c>
      <c r="E21" s="149">
        <v>2016</v>
      </c>
      <c r="F21" s="74"/>
      <c r="G21" s="74"/>
      <c r="H21" s="74"/>
      <c r="I21" s="74"/>
    </row>
    <row r="22" spans="2:16" ht="15.75" x14ac:dyDescent="0.25">
      <c r="B22" s="74"/>
      <c r="C22" s="56" t="s">
        <v>124</v>
      </c>
      <c r="D22" s="150">
        <v>8.98</v>
      </c>
      <c r="E22" s="151">
        <v>8.75</v>
      </c>
      <c r="F22" s="146"/>
      <c r="G22" s="146"/>
      <c r="H22" s="147"/>
      <c r="I22" s="146"/>
      <c r="J22" s="13"/>
      <c r="L22" s="16"/>
    </row>
    <row r="23" spans="2:16" ht="15.75" x14ac:dyDescent="0.25">
      <c r="B23" s="74"/>
      <c r="C23" s="56" t="s">
        <v>125</v>
      </c>
      <c r="D23" s="150">
        <v>10</v>
      </c>
      <c r="E23" s="151">
        <v>9.75</v>
      </c>
      <c r="F23" s="146"/>
      <c r="G23" s="146"/>
      <c r="H23" s="147"/>
      <c r="I23" s="146"/>
      <c r="J23" s="13"/>
      <c r="L23" s="16"/>
    </row>
    <row r="24" spans="2:16" ht="16.5" thickBot="1" x14ac:dyDescent="0.3">
      <c r="B24" s="74"/>
      <c r="C24" s="152" t="s">
        <v>126</v>
      </c>
      <c r="D24" s="153">
        <v>10.26</v>
      </c>
      <c r="E24" s="154">
        <v>10</v>
      </c>
      <c r="F24" s="146"/>
      <c r="G24" s="146"/>
      <c r="H24" s="147"/>
      <c r="I24" s="146"/>
      <c r="J24" s="13"/>
      <c r="L24" s="16"/>
    </row>
    <row r="25" spans="2:16" ht="15.75" x14ac:dyDescent="0.25">
      <c r="B25" s="74"/>
      <c r="C25" s="74"/>
      <c r="D25" s="155" t="s">
        <v>26</v>
      </c>
      <c r="E25" s="74"/>
      <c r="F25" s="74"/>
      <c r="G25" s="74"/>
      <c r="H25" s="74"/>
      <c r="I25" s="74"/>
    </row>
    <row r="26" spans="2:16" ht="15.75" x14ac:dyDescent="0.25">
      <c r="B26" s="74"/>
      <c r="C26" s="74"/>
      <c r="D26" s="74"/>
      <c r="E26" s="74"/>
      <c r="F26" s="74"/>
      <c r="G26" s="74"/>
      <c r="H26" s="74"/>
      <c r="I26" s="74"/>
      <c r="K26" s="10"/>
    </row>
    <row r="27" spans="2:16" ht="15.75" hidden="1" x14ac:dyDescent="0.25">
      <c r="B27" s="74"/>
      <c r="C27" s="74"/>
      <c r="D27" s="74"/>
      <c r="E27" s="74" t="s">
        <v>122</v>
      </c>
      <c r="F27" s="86"/>
      <c r="G27" s="74"/>
      <c r="H27" s="147"/>
      <c r="I27" s="74"/>
    </row>
    <row r="28" spans="2:16" ht="15.75" hidden="1" x14ac:dyDescent="0.25">
      <c r="B28" s="74"/>
      <c r="C28" s="74"/>
      <c r="D28" s="74"/>
      <c r="E28" s="86" t="s">
        <v>123</v>
      </c>
      <c r="F28" s="74"/>
      <c r="G28" s="74"/>
      <c r="H28" s="74"/>
      <c r="I28" s="74"/>
      <c r="P28" s="12"/>
    </row>
    <row r="29" spans="2:16" ht="15.75" hidden="1" x14ac:dyDescent="0.25">
      <c r="B29" s="74"/>
      <c r="C29" s="74"/>
      <c r="D29" s="74" t="s">
        <v>124</v>
      </c>
      <c r="E29" s="155">
        <v>8.5</v>
      </c>
      <c r="F29" s="74"/>
      <c r="G29" s="74"/>
      <c r="H29" s="74"/>
      <c r="I29" s="74"/>
    </row>
    <row r="30" spans="2:16" ht="15.75" hidden="1" x14ac:dyDescent="0.25">
      <c r="B30" s="74"/>
      <c r="C30" s="74"/>
      <c r="D30" s="74" t="s">
        <v>125</v>
      </c>
      <c r="E30" s="155">
        <v>9.5</v>
      </c>
      <c r="F30" s="74"/>
      <c r="G30" s="74"/>
      <c r="H30" s="74"/>
      <c r="I30" s="74"/>
    </row>
    <row r="31" spans="2:16" ht="15.75" hidden="1" x14ac:dyDescent="0.25">
      <c r="B31" s="74"/>
      <c r="C31" s="74"/>
      <c r="D31" s="74" t="s">
        <v>126</v>
      </c>
      <c r="E31" s="155">
        <v>9.75</v>
      </c>
      <c r="F31" s="74"/>
      <c r="G31" s="74"/>
      <c r="H31" s="74"/>
      <c r="I31" s="74"/>
    </row>
    <row r="32" spans="2:16" ht="15.75" hidden="1" x14ac:dyDescent="0.25">
      <c r="B32" s="74"/>
      <c r="C32" s="74"/>
      <c r="D32" s="74"/>
      <c r="E32" s="155">
        <f>SUM(E29:E31)</f>
        <v>27.75</v>
      </c>
      <c r="F32" s="74"/>
      <c r="G32" s="74"/>
      <c r="H32" s="74"/>
      <c r="I32" s="74"/>
    </row>
    <row r="33" spans="2:13" ht="15.75" x14ac:dyDescent="0.25">
      <c r="B33" s="74"/>
      <c r="C33" s="74"/>
      <c r="D33" s="74"/>
      <c r="E33" s="155"/>
      <c r="F33" s="74"/>
      <c r="G33" s="74"/>
      <c r="H33" s="74"/>
      <c r="I33" s="74"/>
    </row>
    <row r="34" spans="2:13" ht="15.75" x14ac:dyDescent="0.25">
      <c r="B34" s="74"/>
      <c r="C34" s="74"/>
      <c r="D34" s="74"/>
      <c r="E34" s="156"/>
      <c r="F34" s="74"/>
      <c r="G34" s="74"/>
      <c r="H34" s="74"/>
      <c r="I34" s="74"/>
    </row>
    <row r="35" spans="2:13" ht="15.75" x14ac:dyDescent="0.25">
      <c r="B35" s="74"/>
      <c r="C35" s="74"/>
      <c r="D35" s="74"/>
      <c r="E35" s="86"/>
      <c r="F35" s="74"/>
      <c r="G35" s="74"/>
      <c r="H35" s="147"/>
      <c r="I35" s="74"/>
    </row>
    <row r="36" spans="2:13" ht="15.75" x14ac:dyDescent="0.25">
      <c r="B36" s="74"/>
      <c r="C36" s="74"/>
      <c r="D36" s="74"/>
      <c r="E36" s="155"/>
      <c r="F36" s="74"/>
      <c r="G36" s="74"/>
      <c r="H36" s="74"/>
      <c r="I36" s="74"/>
    </row>
    <row r="37" spans="2:13" ht="15.75" x14ac:dyDescent="0.25">
      <c r="B37" s="74"/>
      <c r="C37" s="74"/>
      <c r="D37" s="74"/>
      <c r="E37" s="155"/>
      <c r="F37" s="74"/>
      <c r="G37" s="74"/>
      <c r="H37" s="74"/>
      <c r="I37" s="74"/>
      <c r="J37" s="17"/>
      <c r="L37" s="17"/>
      <c r="M37" s="18"/>
    </row>
    <row r="38" spans="2:13" ht="15.75" x14ac:dyDescent="0.25">
      <c r="B38" s="74"/>
      <c r="C38" s="74"/>
      <c r="D38" s="74"/>
      <c r="E38" s="155"/>
      <c r="F38" s="74"/>
      <c r="G38" s="74"/>
      <c r="H38" s="74"/>
      <c r="I38" s="74"/>
      <c r="J38" s="17"/>
      <c r="L38" s="17"/>
      <c r="M38" s="18"/>
    </row>
    <row r="39" spans="2:13" ht="15.75" x14ac:dyDescent="0.25">
      <c r="B39" s="74"/>
      <c r="C39" s="74"/>
      <c r="D39" s="74"/>
      <c r="E39" s="155"/>
      <c r="F39" s="74"/>
      <c r="G39" s="74"/>
      <c r="H39" s="74"/>
      <c r="I39" s="74"/>
    </row>
    <row r="40" spans="2:13" ht="15.75" x14ac:dyDescent="0.25">
      <c r="B40" s="74"/>
      <c r="C40" s="74"/>
      <c r="D40" s="74"/>
      <c r="E40" s="74"/>
      <c r="F40" s="74"/>
      <c r="G40" s="74"/>
      <c r="H40" s="74"/>
      <c r="I40" s="74"/>
    </row>
    <row r="41" spans="2:13" ht="15.75" hidden="1" customHeight="1" thickBot="1" x14ac:dyDescent="0.3">
      <c r="B41" s="27"/>
      <c r="C41" s="19" t="s">
        <v>127</v>
      </c>
      <c r="D41" s="19"/>
      <c r="E41" s="28"/>
      <c r="F41" s="27"/>
      <c r="G41" s="27"/>
      <c r="H41" s="27"/>
      <c r="I41" s="27"/>
    </row>
    <row r="42" spans="2:13" x14ac:dyDescent="0.25">
      <c r="B42" s="27"/>
      <c r="C42" s="19"/>
      <c r="D42" s="19"/>
      <c r="E42" s="28"/>
      <c r="F42" s="27"/>
      <c r="G42" s="27"/>
      <c r="H42" s="27"/>
      <c r="I42" s="27"/>
    </row>
    <row r="43" spans="2:13" x14ac:dyDescent="0.25">
      <c r="B43" s="27"/>
      <c r="C43" s="19"/>
      <c r="D43" s="19"/>
      <c r="E43" s="28"/>
      <c r="F43" s="27"/>
      <c r="G43" s="27"/>
      <c r="H43" s="27"/>
      <c r="I43" s="27"/>
    </row>
    <row r="44" spans="2:13" x14ac:dyDescent="0.25">
      <c r="B44" s="27"/>
      <c r="C44" s="27"/>
      <c r="D44" s="27"/>
      <c r="E44" s="14"/>
      <c r="F44" s="27"/>
      <c r="G44" s="27"/>
      <c r="H44" s="27"/>
      <c r="I44" s="27"/>
    </row>
    <row r="45" spans="2:13" x14ac:dyDescent="0.25">
      <c r="B45" s="27"/>
      <c r="C45" s="27"/>
      <c r="D45" s="27"/>
      <c r="E45" s="29"/>
      <c r="F45" s="27"/>
      <c r="G45" s="27"/>
      <c r="H45" s="2"/>
      <c r="I45" s="27"/>
    </row>
    <row r="46" spans="2:13" x14ac:dyDescent="0.25">
      <c r="E46" s="17"/>
    </row>
    <row r="47" spans="2:13" x14ac:dyDescent="0.25">
      <c r="E47" s="17"/>
      <c r="J47" s="17"/>
    </row>
    <row r="48" spans="2:13" x14ac:dyDescent="0.25">
      <c r="E48" s="17"/>
      <c r="J48" s="17"/>
    </row>
    <row r="49" spans="2:15" x14ac:dyDescent="0.25">
      <c r="E49" s="17"/>
    </row>
    <row r="51" spans="2:15" x14ac:dyDescent="0.25">
      <c r="C51" s="19"/>
      <c r="D51" s="19"/>
      <c r="E51" s="17"/>
    </row>
    <row r="55" spans="2:15" x14ac:dyDescent="0.25">
      <c r="B55" s="19"/>
      <c r="D55" s="10"/>
      <c r="E55" s="10"/>
      <c r="F55" s="10"/>
      <c r="I55" s="20"/>
      <c r="J55" s="21"/>
      <c r="K55" s="20"/>
      <c r="L55" s="21"/>
      <c r="M55" s="20"/>
      <c r="N55" s="20"/>
      <c r="O55" s="20"/>
    </row>
    <row r="56" spans="2:15" x14ac:dyDescent="0.25">
      <c r="D56" s="16"/>
      <c r="E56" s="16"/>
      <c r="F56" s="23"/>
      <c r="G56" s="24"/>
      <c r="I56" s="20"/>
      <c r="J56" s="22"/>
      <c r="K56" s="20"/>
      <c r="L56" s="23"/>
      <c r="M56" s="24"/>
      <c r="N56" s="20"/>
      <c r="O56" s="20"/>
    </row>
    <row r="57" spans="2:15" x14ac:dyDescent="0.25">
      <c r="D57" s="16"/>
      <c r="E57" s="16"/>
      <c r="F57" s="20"/>
      <c r="G57" s="20"/>
      <c r="I57" s="20"/>
      <c r="J57" s="22"/>
      <c r="K57" s="20"/>
      <c r="L57" s="20"/>
      <c r="M57" s="20"/>
      <c r="N57" s="20"/>
      <c r="O57" s="20"/>
    </row>
    <row r="58" spans="2:15" x14ac:dyDescent="0.25">
      <c r="D58" s="16"/>
      <c r="E58" s="16"/>
      <c r="F58" s="23"/>
      <c r="G58" s="24"/>
      <c r="I58" s="20"/>
      <c r="J58" s="22"/>
      <c r="K58" s="20"/>
      <c r="L58" s="23"/>
      <c r="M58" s="24"/>
      <c r="N58" s="20"/>
      <c r="O58" s="20"/>
    </row>
    <row r="59" spans="2:15" x14ac:dyDescent="0.25">
      <c r="D59" s="16"/>
      <c r="E59" s="16"/>
      <c r="F59" s="20"/>
      <c r="G59" s="20"/>
      <c r="I59" s="20"/>
      <c r="J59" s="22"/>
      <c r="K59" s="20"/>
      <c r="L59" s="20"/>
      <c r="M59" s="20"/>
      <c r="N59" s="20"/>
      <c r="O59" s="20"/>
    </row>
    <row r="60" spans="2:15" x14ac:dyDescent="0.25">
      <c r="D60" s="16"/>
      <c r="E60" s="16"/>
      <c r="F60" s="23"/>
      <c r="G60" s="24"/>
      <c r="I60" s="25"/>
      <c r="J60" s="22"/>
      <c r="K60" s="20"/>
      <c r="L60" s="23"/>
      <c r="M60" s="24"/>
      <c r="N60" s="20"/>
      <c r="O60" s="25"/>
    </row>
    <row r="61" spans="2:15" x14ac:dyDescent="0.25">
      <c r="F61" s="20"/>
      <c r="G61" s="20"/>
      <c r="I61" s="20"/>
      <c r="J61" s="20"/>
      <c r="K61" s="20"/>
      <c r="L61" s="20"/>
      <c r="M61" s="20"/>
      <c r="N61" s="20"/>
      <c r="O61" s="20"/>
    </row>
    <row r="62" spans="2:15" x14ac:dyDescent="0.25">
      <c r="D62" s="26"/>
      <c r="E62" s="26"/>
      <c r="F62" s="23"/>
      <c r="G62" s="24"/>
      <c r="I62" s="20"/>
      <c r="J62" s="23"/>
      <c r="K62" s="20"/>
      <c r="L62" s="23"/>
      <c r="M62" s="24"/>
      <c r="N62" s="20"/>
      <c r="O62" s="20"/>
    </row>
  </sheetData>
  <mergeCells count="2">
    <mergeCell ref="B6:E6"/>
    <mergeCell ref="C20:E20"/>
  </mergeCells>
  <pageMargins left="0.25" right="0.25" top="0.75" bottom="0.75" header="0.3" footer="0.3"/>
  <pageSetup orientation="portrait" r:id="rId1"/>
  <headerFooter>
    <oddHeader xml:space="preserve">&amp;CAttachment D &amp;RPage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Sales</vt:lpstr>
      <vt:lpstr>Meal Plans</vt:lpstr>
      <vt:lpstr>Missed-Trades-Meal#</vt:lpstr>
      <vt:lpstr>Summer</vt:lpstr>
      <vt:lpstr>Other</vt:lpstr>
      <vt:lpstr>Summer!Print_Area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J. Williams</dc:creator>
  <cp:lastModifiedBy>Linda J. Hickman</cp:lastModifiedBy>
  <cp:lastPrinted>2016-11-18T16:36:56Z</cp:lastPrinted>
  <dcterms:created xsi:type="dcterms:W3CDTF">2016-09-07T21:22:38Z</dcterms:created>
  <dcterms:modified xsi:type="dcterms:W3CDTF">2016-12-12T14:58:48Z</dcterms:modified>
</cp:coreProperties>
</file>